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helmina.KOTTFORETAGEN\Downloads\"/>
    </mc:Choice>
  </mc:AlternateContent>
  <xr:revisionPtr revIDLastSave="0" documentId="13_ncr:1_{4E7796D0-07CF-4EFB-A661-3A03E4C8CE68}" xr6:coauthVersionLast="47" xr6:coauthVersionMax="47" xr10:uidLastSave="{00000000-0000-0000-0000-000000000000}"/>
  <bookViews>
    <workbookView xWindow="-28920" yWindow="0" windowWidth="29040" windowHeight="15840" activeTab="1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F11" i="2"/>
  <c r="G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 l="1"/>
</calcChain>
</file>

<file path=xl/sharedStrings.xml><?xml version="1.0" encoding="utf-8"?>
<sst xmlns="http://schemas.openxmlformats.org/spreadsheetml/2006/main" count="27" uniqueCount="25">
  <si>
    <t>Slaktvikt</t>
  </si>
  <si>
    <t>Antal dagar före slakt</t>
  </si>
  <si>
    <t>Viktökning per dag:</t>
  </si>
  <si>
    <t>Dagar före slakt</t>
  </si>
  <si>
    <t>gram/dag under utslaktningsperioden</t>
  </si>
  <si>
    <t>Utvägningstabell för slaktgrisar, ett hjälpmedel för att hitta en effektiv leveransstrategi</t>
  </si>
  <si>
    <t xml:space="preserve">I det </t>
  </si>
  <si>
    <t xml:space="preserve">rosa </t>
  </si>
  <si>
    <t>Tänk på att:</t>
  </si>
  <si>
    <t>Ta hänsyn till möjliga lasttillägg.</t>
  </si>
  <si>
    <t>Kontrollera vågen regelbundet.</t>
  </si>
  <si>
    <t>Kastrater kan behöva skickas till slakt något lättare än sogrisar.</t>
  </si>
  <si>
    <t>De första grisarna i omgången är ofta fetast och kan skickas till slakt lättare.</t>
  </si>
  <si>
    <t>Den förväntade slaktvikten varierar mellan individer.</t>
  </si>
  <si>
    <r>
      <t>fältet anger du grisarnas genomsnittliga dagliga viktökningen i avdelningen</t>
    </r>
    <r>
      <rPr>
        <b/>
        <sz val="12"/>
        <color theme="1"/>
        <rFont val="Calibri"/>
        <family val="2"/>
        <scheme val="minor"/>
      </rPr>
      <t xml:space="preserve"> under utslaktningsveckorna</t>
    </r>
    <r>
      <rPr>
        <sz val="12"/>
        <color theme="1"/>
        <rFont val="Calibri"/>
        <family val="2"/>
        <scheme val="minor"/>
      </rPr>
      <t>.</t>
    </r>
  </si>
  <si>
    <t>Därefter kan du, beroende på antal dagar till slaktleverans, se hur mycket grisarna ska väga för att nå önskad slaktvikt.</t>
  </si>
  <si>
    <t>Antal i boxen</t>
  </si>
  <si>
    <t>MJ NE / kg tillv</t>
  </si>
  <si>
    <t>Insättningsvikt, kg</t>
  </si>
  <si>
    <t>Levandevikt</t>
  </si>
  <si>
    <t>Förbrukat MJ NE</t>
  </si>
  <si>
    <t>Tabell för beräknad slaktdag beräknat på foderförbrukningen.</t>
  </si>
  <si>
    <t>Slaktvikt kg</t>
  </si>
  <si>
    <t>Tillväxt kg / dygn</t>
  </si>
  <si>
    <t>Om antal 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</si>
</sst>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1" fontId="2" fillId="0" borderId="1" xfId="0" applyNumberFormat="1" applyFont="1" applyBorder="1"/>
    <xf numFmtId="0" fontId="4" fillId="2" borderId="0" xfId="0" applyFont="1" applyFill="1" applyProtection="1">
      <protection locked="0"/>
    </xf>
    <xf numFmtId="0" fontId="2" fillId="2" borderId="0" xfId="0" applyFont="1" applyFill="1"/>
    <xf numFmtId="164" fontId="0" fillId="0" borderId="0" xfId="0" applyNumberFormat="1"/>
    <xf numFmtId="0" fontId="0" fillId="0" borderId="3" xfId="0" applyBorder="1"/>
    <xf numFmtId="164" fontId="0" fillId="0" borderId="3" xfId="0" applyNumberFormat="1" applyBorder="1"/>
    <xf numFmtId="1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5" fillId="0" borderId="0" xfId="0" applyNumberFormat="1" applyFont="1"/>
    <xf numFmtId="0" fontId="0" fillId="3" borderId="3" xfId="0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zoomScale="120" zoomScaleNormal="120" workbookViewId="0">
      <selection activeCell="O3" sqref="O3"/>
    </sheetView>
  </sheetViews>
  <sheetFormatPr defaultRowHeight="15" x14ac:dyDescent="0.25"/>
  <cols>
    <col min="2" max="2" width="9.140625" hidden="1" customWidth="1"/>
    <col min="3" max="13" width="0" hidden="1" customWidth="1"/>
  </cols>
  <sheetData>
    <row r="1" spans="1:26" ht="18.75" x14ac:dyDescent="0.3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3" spans="1:26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>
        <v>1050</v>
      </c>
      <c r="P3" s="1" t="s">
        <v>4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6" t="s">
        <v>0</v>
      </c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0" t="s">
        <v>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"/>
    </row>
    <row r="6" spans="1:26" ht="15.75" x14ac:dyDescent="0.25">
      <c r="A6" s="2">
        <v>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14</v>
      </c>
      <c r="M6" s="1">
        <v>21</v>
      </c>
      <c r="N6" s="2">
        <v>1</v>
      </c>
      <c r="O6" s="2">
        <v>2</v>
      </c>
      <c r="P6" s="2">
        <v>3</v>
      </c>
      <c r="Q6" s="2">
        <v>4</v>
      </c>
      <c r="R6" s="2">
        <v>5</v>
      </c>
      <c r="S6" s="2">
        <v>6</v>
      </c>
      <c r="T6" s="2">
        <v>7</v>
      </c>
      <c r="U6" s="2">
        <v>8</v>
      </c>
      <c r="V6" s="2">
        <v>9</v>
      </c>
      <c r="W6" s="2">
        <v>10</v>
      </c>
      <c r="X6" s="2">
        <v>14</v>
      </c>
      <c r="Y6" s="2">
        <v>21</v>
      </c>
      <c r="Z6" s="1"/>
    </row>
    <row r="7" spans="1:26" ht="15.75" x14ac:dyDescent="0.25">
      <c r="A7" s="2">
        <v>75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>
        <f>(75-O3/1000)*1.34</f>
        <v>99.093000000000004</v>
      </c>
      <c r="O7" s="3">
        <f>75*1.34-2*(O3/1000)</f>
        <v>98.4</v>
      </c>
      <c r="P7" s="3">
        <f>75*1.34-3*(O3/1000)</f>
        <v>97.35</v>
      </c>
      <c r="Q7" s="3">
        <f>75*1.34-4*(O3/1000)</f>
        <v>96.3</v>
      </c>
      <c r="R7" s="3">
        <f>75*1.34-5*(O3/1000)</f>
        <v>95.25</v>
      </c>
      <c r="S7" s="3">
        <f>75*1.34-6*(O3/1000)</f>
        <v>94.2</v>
      </c>
      <c r="T7" s="3">
        <f>75*1.34-7*(O3/1000)</f>
        <v>93.15</v>
      </c>
      <c r="U7" s="3">
        <f>75*1.34-8*(O3/1000)</f>
        <v>92.1</v>
      </c>
      <c r="V7" s="3">
        <f>75*1.34-9*(O3/1000)</f>
        <v>91.05</v>
      </c>
      <c r="W7" s="3">
        <f>75*1.34-10*(O3/1000)</f>
        <v>90</v>
      </c>
      <c r="X7" s="3">
        <f>75*1.34-11*(O3/1000)</f>
        <v>88.95</v>
      </c>
      <c r="Y7" s="3">
        <f>75*1.34-21*(O3/1000)</f>
        <v>78.45</v>
      </c>
      <c r="Z7" s="1"/>
    </row>
    <row r="8" spans="1:26" ht="15.75" x14ac:dyDescent="0.25">
      <c r="A8" s="2">
        <v>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>
        <f>(77-O3/1000)*1.34</f>
        <v>101.77300000000001</v>
      </c>
      <c r="O8" s="3">
        <f>77*1.34-2*(Q3/1000)</f>
        <v>103.18</v>
      </c>
      <c r="P8" s="3">
        <f>77*1.34-3*(O3/1000)</f>
        <v>100.03</v>
      </c>
      <c r="Q8" s="3">
        <f>77*1.34-4*(O3/1000)</f>
        <v>98.98</v>
      </c>
      <c r="R8" s="3">
        <f>77*1.34-5*(O3/1000)</f>
        <v>97.93</v>
      </c>
      <c r="S8" s="3">
        <f>77*1.34-6*(O3/1000)</f>
        <v>96.88000000000001</v>
      </c>
      <c r="T8" s="3">
        <f>77*1.34-7*(O3/1000)</f>
        <v>95.830000000000013</v>
      </c>
      <c r="U8" s="3">
        <f>77*1.34-8*(O3/1000)</f>
        <v>94.78</v>
      </c>
      <c r="V8" s="3">
        <f>77*1.34-9*(O3/1000)</f>
        <v>93.73</v>
      </c>
      <c r="W8" s="3">
        <f>77*1.34-10*(O3/1000)</f>
        <v>92.68</v>
      </c>
      <c r="X8" s="3">
        <f>77*1.34-14*(O3/1000)</f>
        <v>88.48</v>
      </c>
      <c r="Y8" s="3">
        <f>77*1.34-21*(O3/1000)</f>
        <v>81.13000000000001</v>
      </c>
      <c r="Z8" s="1"/>
    </row>
    <row r="9" spans="1:26" ht="15.75" x14ac:dyDescent="0.25">
      <c r="A9" s="2">
        <v>79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>
        <f>(79-O3/1000)*1.34</f>
        <v>104.453</v>
      </c>
      <c r="O9" s="3">
        <f>79*1.34-2*(O3/1000)</f>
        <v>103.76</v>
      </c>
      <c r="P9" s="3">
        <f>79*1.34-3*(O3/1000)</f>
        <v>102.71</v>
      </c>
      <c r="Q9" s="3">
        <f>79*1.34-4*(O3/1000)</f>
        <v>101.66</v>
      </c>
      <c r="R9" s="3">
        <f>79*1.34-5*(O3/1000)</f>
        <v>100.61</v>
      </c>
      <c r="S9" s="3">
        <f>79*1.34-6*(O3/1000)</f>
        <v>99.56</v>
      </c>
      <c r="T9" s="3">
        <f>79*1.34-7*(O3/1000)</f>
        <v>98.51</v>
      </c>
      <c r="U9" s="3">
        <f>79*1.34-8*(O3/1000)</f>
        <v>97.46</v>
      </c>
      <c r="V9" s="3">
        <f>79*1.34-9*(O3/1000)</f>
        <v>96.41</v>
      </c>
      <c r="W9" s="3">
        <f>79*1.34-10*(O3/1000)</f>
        <v>95.36</v>
      </c>
      <c r="X9" s="3">
        <f>79*1.34-14*(O3/1000)</f>
        <v>91.16</v>
      </c>
      <c r="Y9" s="3">
        <f>79*1.34-21*(O3/1000)</f>
        <v>83.81</v>
      </c>
      <c r="Z9" s="1"/>
    </row>
    <row r="10" spans="1:26" ht="15.75" x14ac:dyDescent="0.25">
      <c r="A10" s="2">
        <v>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>
        <f>(81-O3/1000)*1.34</f>
        <v>107.13300000000001</v>
      </c>
      <c r="O10" s="3">
        <f>81*1.34-2*(O3/1000)</f>
        <v>106.44000000000001</v>
      </c>
      <c r="P10" s="3">
        <f>81*1.34-3*(O3/1000)</f>
        <v>105.39</v>
      </c>
      <c r="Q10" s="3">
        <f>81*1.34-4*(O3/1000)</f>
        <v>104.34</v>
      </c>
      <c r="R10" s="3">
        <f>81*1.34-5*(O3/1000)</f>
        <v>103.29</v>
      </c>
      <c r="S10" s="3">
        <f>81*1.34-6*(O3/1000)</f>
        <v>102.24000000000001</v>
      </c>
      <c r="T10" s="3">
        <f>81*1.34-7*(O3/1000)</f>
        <v>101.19000000000001</v>
      </c>
      <c r="U10" s="3">
        <f>81*1.34-8*(O3/1000)</f>
        <v>100.14</v>
      </c>
      <c r="V10" s="3">
        <f>81*1.34-9*(O3/1000)</f>
        <v>99.09</v>
      </c>
      <c r="W10" s="3">
        <f>81*1.34-10*(O3/1000)</f>
        <v>98.04</v>
      </c>
      <c r="X10" s="3">
        <f>81*1.34-14*(O3/1000)</f>
        <v>93.84</v>
      </c>
      <c r="Y10" s="3">
        <f>81*1.34-21*(O3/1000)</f>
        <v>86.490000000000009</v>
      </c>
      <c r="Z10" s="1"/>
    </row>
    <row r="11" spans="1:26" ht="15.75" x14ac:dyDescent="0.25">
      <c r="A11" s="2">
        <v>83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>
        <f>(83-O3/1000)*1.34</f>
        <v>109.81300000000002</v>
      </c>
      <c r="O11" s="3">
        <f>83*1.34-2*(O3/1000)</f>
        <v>109.12000000000002</v>
      </c>
      <c r="P11" s="3">
        <f>83*1.34-3*(O3/1000)</f>
        <v>108.07000000000001</v>
      </c>
      <c r="Q11" s="3">
        <f>83*1.34-4*(O3/1000)</f>
        <v>107.02000000000001</v>
      </c>
      <c r="R11" s="3">
        <f>83*1.34-5*(O3/1000)</f>
        <v>105.97000000000001</v>
      </c>
      <c r="S11" s="3">
        <f>83*1.34-6*(O3/1000)</f>
        <v>104.92000000000002</v>
      </c>
      <c r="T11" s="3">
        <f>83*1.34-7*(O3/1000)</f>
        <v>103.87000000000002</v>
      </c>
      <c r="U11" s="3">
        <f>83*1.34-8*(O3/1000)</f>
        <v>102.82000000000001</v>
      </c>
      <c r="V11" s="3">
        <f>83*1.34-9*(O3/1000)</f>
        <v>101.77000000000001</v>
      </c>
      <c r="W11" s="3">
        <f>83*1.34-10*(O3/1000)</f>
        <v>100.72000000000001</v>
      </c>
      <c r="X11" s="3">
        <f>83*1.34-14*(O3/1000)</f>
        <v>96.52000000000001</v>
      </c>
      <c r="Y11" s="3">
        <f>83*1.34-21*(O3/1000)</f>
        <v>89.170000000000016</v>
      </c>
      <c r="Z11" s="1"/>
    </row>
    <row r="12" spans="1:26" ht="15.75" x14ac:dyDescent="0.25">
      <c r="A12" s="2">
        <v>85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>
        <f>(85-O3/1000)*1.34</f>
        <v>112.49300000000001</v>
      </c>
      <c r="O12" s="3">
        <f>85*1.34-2*(O3/1000)</f>
        <v>111.80000000000001</v>
      </c>
      <c r="P12" s="3">
        <f>85*1.34-3*(O3/1000)</f>
        <v>110.75</v>
      </c>
      <c r="Q12" s="3">
        <f>85*1.34-4*(O3/1000)</f>
        <v>109.7</v>
      </c>
      <c r="R12" s="3">
        <f>85*1.34-5*(O3/1000)</f>
        <v>108.65</v>
      </c>
      <c r="S12" s="3">
        <f>85*1.34-6*(O3/1000)</f>
        <v>107.60000000000001</v>
      </c>
      <c r="T12" s="3">
        <f>85*1.34-7*(O3/1000)</f>
        <v>106.55000000000001</v>
      </c>
      <c r="U12" s="3">
        <f>85*1.34-8*(O3/1000)</f>
        <v>105.5</v>
      </c>
      <c r="V12" s="3">
        <f>85*1.34-9*(O3/1000)</f>
        <v>104.45</v>
      </c>
      <c r="W12" s="3">
        <f>85*1.34-10*(O3/1000)</f>
        <v>103.4</v>
      </c>
      <c r="X12" s="3">
        <f>85*1.34-14*(O3/1000)</f>
        <v>99.2</v>
      </c>
      <c r="Y12" s="3">
        <f>85*1.34-21*(O3/1000)</f>
        <v>91.850000000000009</v>
      </c>
      <c r="Z12" s="1"/>
    </row>
    <row r="13" spans="1:26" ht="15.75" x14ac:dyDescent="0.25">
      <c r="A13" s="2">
        <v>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>
        <f>(87-O3/1000)*1.34</f>
        <v>115.17300000000002</v>
      </c>
      <c r="O13" s="3">
        <f>87*1.34-2*(O3/1000)</f>
        <v>114.48000000000002</v>
      </c>
      <c r="P13" s="3">
        <f>87*1.34-3*(O3/1000)</f>
        <v>113.43</v>
      </c>
      <c r="Q13" s="3">
        <f>87*1.34-4*(O3/1000)</f>
        <v>112.38000000000001</v>
      </c>
      <c r="R13" s="3">
        <f>87*1.34-5*(O3/1000)</f>
        <v>111.33000000000001</v>
      </c>
      <c r="S13" s="3">
        <f>87*1.34-6*(O3/1000)</f>
        <v>110.28000000000002</v>
      </c>
      <c r="T13" s="3">
        <f>87*1.34-7*(O3/1000)</f>
        <v>109.23000000000002</v>
      </c>
      <c r="U13" s="3">
        <f>87*1.34-8*(O3/1000)</f>
        <v>108.18</v>
      </c>
      <c r="V13" s="3">
        <f>87*1.34-9*(O3/1000)</f>
        <v>107.13000000000001</v>
      </c>
      <c r="W13" s="3">
        <f>87*1.34-10*(O3/1000)</f>
        <v>106.08000000000001</v>
      </c>
      <c r="X13" s="3">
        <f>87*1.34-14*(O3/1000)</f>
        <v>101.88000000000001</v>
      </c>
      <c r="Y13" s="3">
        <f>87*1.34-21*(O3/1000)</f>
        <v>94.530000000000015</v>
      </c>
      <c r="Z13" s="1"/>
    </row>
    <row r="14" spans="1:26" ht="15.75" x14ac:dyDescent="0.25">
      <c r="A14" s="2">
        <v>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>
        <f>(89-O3/1000)*1.34</f>
        <v>117.85300000000001</v>
      </c>
      <c r="O14" s="3">
        <f>89*1.34-2*(O3/1000)</f>
        <v>117.16000000000001</v>
      </c>
      <c r="P14" s="3">
        <f>89*1.34-3*(O3/1000)</f>
        <v>116.11</v>
      </c>
      <c r="Q14" s="3">
        <f>89*1.34-4*(O3/1000)</f>
        <v>115.06</v>
      </c>
      <c r="R14" s="3">
        <f>89*1.34-5*(O3/1000)</f>
        <v>114.01</v>
      </c>
      <c r="S14" s="3">
        <f>89*1.34-6*(O3/1000)</f>
        <v>112.96000000000001</v>
      </c>
      <c r="T14" s="3">
        <f>89*1.34-7*(O3/1000)</f>
        <v>111.91000000000001</v>
      </c>
      <c r="U14" s="3">
        <f>89*1.34-8*(O3/1000)</f>
        <v>110.86</v>
      </c>
      <c r="V14" s="3">
        <f>89*1.34-9*(O3/1000)</f>
        <v>109.81</v>
      </c>
      <c r="W14" s="3">
        <f>89*1.34-10*(O3/1000)</f>
        <v>108.76</v>
      </c>
      <c r="X14" s="3">
        <f>89*1.34-14*(O3/1000)</f>
        <v>104.56</v>
      </c>
      <c r="Y14" s="3">
        <f>89*1.34-21*(O3/1000)</f>
        <v>97.210000000000008</v>
      </c>
      <c r="Z14" s="1"/>
    </row>
    <row r="15" spans="1:26" ht="15.75" x14ac:dyDescent="0.25">
      <c r="A15" s="2">
        <v>91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>
        <f>(91-O3/1000)*1.34</f>
        <v>120.53300000000002</v>
      </c>
      <c r="O15" s="3">
        <f>91*1.34-2*(O3/1000)</f>
        <v>119.84000000000002</v>
      </c>
      <c r="P15" s="3">
        <f>91*1.34-3*(O3/1000)</f>
        <v>118.79</v>
      </c>
      <c r="Q15" s="3">
        <f>91*1.34-4*(O3/1000)</f>
        <v>117.74000000000001</v>
      </c>
      <c r="R15" s="3">
        <f>91*1.34-5*(O3/1000)</f>
        <v>116.69000000000001</v>
      </c>
      <c r="S15" s="3">
        <f>91*1.34-6*(O3/1000)</f>
        <v>115.64000000000001</v>
      </c>
      <c r="T15" s="3">
        <f>91*1.34-7*(O3/1000)</f>
        <v>114.59000000000002</v>
      </c>
      <c r="U15" s="3">
        <f>91*1.34-8*(O3/1000)</f>
        <v>113.54</v>
      </c>
      <c r="V15" s="3">
        <f>91*1.34-9*(O3/1000)</f>
        <v>112.49000000000001</v>
      </c>
      <c r="W15" s="3">
        <f>91*1.34-10*(O3/1000)</f>
        <v>111.44000000000001</v>
      </c>
      <c r="X15" s="3">
        <f>91*1.34-14*(O3/1000)</f>
        <v>107.24000000000001</v>
      </c>
      <c r="Y15" s="3">
        <f>91*1.34-21*(O3/1000)</f>
        <v>99.890000000000015</v>
      </c>
      <c r="Z15" s="1"/>
    </row>
    <row r="16" spans="1:26" ht="15.75" x14ac:dyDescent="0.25">
      <c r="A16" s="2">
        <v>93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>
        <f>(93-O3/1000)*1.34</f>
        <v>123.21300000000001</v>
      </c>
      <c r="O16" s="3">
        <f>93*1.34-2*(O3/1000)</f>
        <v>122.52000000000001</v>
      </c>
      <c r="P16" s="3">
        <f>93*1.34-3*(O3/1000)</f>
        <v>121.47</v>
      </c>
      <c r="Q16" s="3">
        <f>93*1.34-4*(O3/1000)</f>
        <v>120.42</v>
      </c>
      <c r="R16" s="3">
        <f>93*1.34-5*(O3/1000)</f>
        <v>119.37</v>
      </c>
      <c r="S16" s="3">
        <f>93*1.34-6*(O3/1000)</f>
        <v>118.32000000000001</v>
      </c>
      <c r="T16" s="3">
        <f>93*1.34-7*(O3/1000)</f>
        <v>117.27000000000001</v>
      </c>
      <c r="U16" s="3">
        <f>93*1.34-8*(O3/1000)</f>
        <v>116.22</v>
      </c>
      <c r="V16" s="3">
        <f>93*1.34-9*(O3/1000)</f>
        <v>115.17</v>
      </c>
      <c r="W16" s="3">
        <f>93*1.34-10*(O3/1000)</f>
        <v>114.12</v>
      </c>
      <c r="X16" s="3">
        <f>93*1.34-14*(O3/1000)</f>
        <v>109.92</v>
      </c>
      <c r="Y16" s="3">
        <f>93*1.34-21*(O3/1000)</f>
        <v>102.57000000000001</v>
      </c>
      <c r="Z16" s="1"/>
    </row>
    <row r="17" spans="1:26" ht="15.75" x14ac:dyDescent="0.25">
      <c r="A17" s="2">
        <v>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>
        <f>(95-O3/1000)*1.34</f>
        <v>125.89300000000001</v>
      </c>
      <c r="O17" s="3">
        <f>95*1.34-2*(O3/1000)</f>
        <v>125.20000000000002</v>
      </c>
      <c r="P17" s="3">
        <f>95*1.34-3*(O3/1000)</f>
        <v>124.15</v>
      </c>
      <c r="Q17" s="3">
        <f>95*1.34-4*(O3/1000)</f>
        <v>123.10000000000001</v>
      </c>
      <c r="R17" s="3">
        <f>95*1.34-5*(O3/1000)</f>
        <v>122.05000000000001</v>
      </c>
      <c r="S17" s="3">
        <f>95*1.34-6*(O3/1000)</f>
        <v>121.00000000000001</v>
      </c>
      <c r="T17" s="3">
        <f>95*1.34-7*(O3/1000)</f>
        <v>119.95000000000002</v>
      </c>
      <c r="U17" s="3">
        <f>95*1.34-8*(O3/1000)</f>
        <v>118.9</v>
      </c>
      <c r="V17" s="3">
        <f>95*1.34-9*(O3/1000)</f>
        <v>117.85000000000001</v>
      </c>
      <c r="W17" s="3">
        <f>95*1.34-10*(O3/1000)</f>
        <v>116.80000000000001</v>
      </c>
      <c r="X17" s="3">
        <f>95*1.34-14*(O3/1000)</f>
        <v>112.60000000000001</v>
      </c>
      <c r="Y17" s="3">
        <f>95*1.34-21*(O3/1000)</f>
        <v>105.25000000000001</v>
      </c>
      <c r="Z17" s="1"/>
    </row>
    <row r="18" spans="1:26" ht="15.75" x14ac:dyDescent="0.25">
      <c r="A18" s="2">
        <v>97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>
        <f>(97-O3/1000)*1.34</f>
        <v>128.57300000000001</v>
      </c>
      <c r="O18" s="3">
        <f>97*1.34-2*(O3/1000)</f>
        <v>127.88000000000002</v>
      </c>
      <c r="P18" s="3">
        <f>97*1.34-3*(O3/1000)</f>
        <v>126.83000000000001</v>
      </c>
      <c r="Q18" s="3">
        <f>97*1.34-4*(O3/1000)</f>
        <v>125.78000000000002</v>
      </c>
      <c r="R18" s="3">
        <f>97*1.34-5*(O3/1000)</f>
        <v>124.73000000000002</v>
      </c>
      <c r="S18" s="3">
        <f>97*1.34-6*(O3/1000)</f>
        <v>123.68000000000002</v>
      </c>
      <c r="T18" s="3">
        <f>97*1.34-7*(O3/1000)</f>
        <v>122.63000000000002</v>
      </c>
      <c r="U18" s="3">
        <f>97*1.34-8*(O3/1000)</f>
        <v>121.58000000000001</v>
      </c>
      <c r="V18" s="3">
        <f>97*1.34-9*(O3/1000)</f>
        <v>120.53000000000002</v>
      </c>
      <c r="W18" s="3">
        <f>97*1.34-10*(O3/1000)</f>
        <v>119.48000000000002</v>
      </c>
      <c r="X18" s="3">
        <f>97*1.34-14*(O3/1000)</f>
        <v>115.28000000000002</v>
      </c>
      <c r="Y18" s="3">
        <f>97*1.34-21*(O3/1000)</f>
        <v>107.93000000000002</v>
      </c>
      <c r="Z18" s="1"/>
    </row>
    <row r="19" spans="1:26" ht="15.75" x14ac:dyDescent="0.25">
      <c r="A19" s="2">
        <v>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>
        <f>(99-O3/1000)*1.34</f>
        <v>131.25300000000001</v>
      </c>
      <c r="O19" s="3">
        <f>99*1.34-2*(O3/1000)</f>
        <v>130.56</v>
      </c>
      <c r="P19" s="3">
        <f>99*1.34-3*(O3/1000)</f>
        <v>129.51</v>
      </c>
      <c r="Q19" s="3">
        <f>99*1.34-4*(O3/1000)</f>
        <v>128.46</v>
      </c>
      <c r="R19" s="3">
        <f>99*1.34-5*(O3/1000)</f>
        <v>127.41</v>
      </c>
      <c r="S19" s="3">
        <f>99*1.34-6*(O3/1000)</f>
        <v>126.36</v>
      </c>
      <c r="T19" s="3">
        <f>99*1.34-7*(O3/1000)</f>
        <v>125.31</v>
      </c>
      <c r="U19" s="3">
        <f>99*1.34-8*(O3/1000)</f>
        <v>124.25999999999999</v>
      </c>
      <c r="V19" s="3">
        <f>99*1.34-9*(O3/1000)</f>
        <v>123.21</v>
      </c>
      <c r="W19" s="3">
        <f>99*1.34-10*(O3/1000)</f>
        <v>122.16</v>
      </c>
      <c r="X19" s="3">
        <f>99*1.34-14*(O3/1000)</f>
        <v>117.96</v>
      </c>
      <c r="Y19" s="3">
        <f>99*1.34-21*(O3/1000)</f>
        <v>110.61</v>
      </c>
      <c r="Z19" s="1"/>
    </row>
    <row r="20" spans="1:26" ht="15.75" x14ac:dyDescent="0.25">
      <c r="A20" s="4">
        <v>101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>
        <f>(101-O3/1000)*1.34</f>
        <v>133.93300000000002</v>
      </c>
      <c r="O20" s="8">
        <f>101*1.34-2*(O3/1000)</f>
        <v>133.24</v>
      </c>
      <c r="P20" s="8">
        <f>101*1.34-3*(O3/1000)</f>
        <v>132.19</v>
      </c>
      <c r="Q20" s="8">
        <f>101*1.34-4*(O3/1000)</f>
        <v>131.14000000000001</v>
      </c>
      <c r="R20" s="8">
        <f>101*1.34-5*(O3/1000)</f>
        <v>130.09</v>
      </c>
      <c r="S20" s="8">
        <f>101*1.34-6*(O3/1000)</f>
        <v>129.04</v>
      </c>
      <c r="T20" s="8">
        <f>101*1.34-7*(O3/1000)</f>
        <v>127.99000000000001</v>
      </c>
      <c r="U20" s="8">
        <f>101*1.34-8*(O3/1000)</f>
        <v>126.94</v>
      </c>
      <c r="V20" s="8">
        <f>101*1.34-9*(O3/1000)</f>
        <v>125.89</v>
      </c>
      <c r="W20" s="8">
        <f>101*1.34-10*(O3/1000)</f>
        <v>124.84</v>
      </c>
      <c r="X20" s="8">
        <f>101*1.34-14*(O3/1000)</f>
        <v>120.64</v>
      </c>
      <c r="Y20" s="8">
        <f>101*1.34-21*(O3/1000)</f>
        <v>113.29</v>
      </c>
      <c r="Z20" s="1"/>
    </row>
    <row r="21" spans="1:26" ht="15.75" x14ac:dyDescent="0.25"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0" t="s">
        <v>7</v>
      </c>
      <c r="O22" s="1" t="s">
        <v>14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4" spans="1:26" x14ac:dyDescent="0.25">
      <c r="A24" t="s">
        <v>15</v>
      </c>
    </row>
    <row r="27" spans="1:26" ht="15.75" x14ac:dyDescent="0.2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6" ht="15.75" x14ac:dyDescent="0.25">
      <c r="A28" s="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6" ht="15.75" x14ac:dyDescent="0.25">
      <c r="A29" s="1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6" ht="15.75" x14ac:dyDescent="0.25">
      <c r="A30" s="1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6" ht="15.75" x14ac:dyDescent="0.25">
      <c r="A31" s="1" t="s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 ht="15.75" x14ac:dyDescent="0.25">
      <c r="A32" s="1" t="s"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algorithmName="SHA-512" hashValue="9MaoHqv+aZl4jPlb6XVGjq2oMwKtLVhRAttbJoYBYP5aK9d6oTTtg5QNcuS9QKvb6q4162olPXLbAwhnlCzwqQ==" saltValue="wxXgXCODIQ64/bAu2tFuDA==" spinCount="100000" sheet="1" objects="1" scenarios="1" selectLockedCells="1"/>
  <mergeCells count="2">
    <mergeCell ref="N5:Y5"/>
    <mergeCell ref="A1:Y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T37"/>
  <sheetViews>
    <sheetView tabSelected="1" zoomScale="110" zoomScaleNormal="110" workbookViewId="0">
      <selection activeCell="I3" sqref="I3"/>
    </sheetView>
  </sheetViews>
  <sheetFormatPr defaultRowHeight="15" x14ac:dyDescent="0.25"/>
  <cols>
    <col min="5" max="5" width="12" customWidth="1"/>
  </cols>
  <sheetData>
    <row r="2" spans="4:20" ht="54.75" customHeight="1" x14ac:dyDescent="0.4">
      <c r="E2" s="17" t="s">
        <v>21</v>
      </c>
    </row>
    <row r="3" spans="4:20" x14ac:dyDescent="0.25">
      <c r="G3" s="28" t="s">
        <v>18</v>
      </c>
      <c r="H3" s="28"/>
      <c r="I3" s="19">
        <v>31.9</v>
      </c>
    </row>
    <row r="4" spans="4:20" x14ac:dyDescent="0.25">
      <c r="G4" s="28" t="s">
        <v>23</v>
      </c>
      <c r="H4" s="28"/>
      <c r="I4" s="19">
        <v>1.002</v>
      </c>
      <c r="K4" s="28" t="s">
        <v>22</v>
      </c>
      <c r="L4" s="28"/>
      <c r="M4" s="19">
        <v>88</v>
      </c>
      <c r="N4" s="28" t="s">
        <v>24</v>
      </c>
      <c r="O4" s="28"/>
      <c r="P4" s="19">
        <v>5</v>
      </c>
    </row>
    <row r="5" spans="4:20" x14ac:dyDescent="0.25">
      <c r="G5" s="28" t="s">
        <v>17</v>
      </c>
      <c r="H5" s="28"/>
      <c r="I5" s="19">
        <v>24.7</v>
      </c>
      <c r="L5" s="18">
        <f>((((1.34*M4)-(P4*I4))-I3)*I5)*I6</f>
        <v>2000.9469999999997</v>
      </c>
    </row>
    <row r="6" spans="4:20" x14ac:dyDescent="0.25">
      <c r="G6" s="28" t="s">
        <v>16</v>
      </c>
      <c r="H6" s="28"/>
      <c r="I6" s="19">
        <v>1</v>
      </c>
    </row>
    <row r="7" spans="4:20" x14ac:dyDescent="0.25">
      <c r="G7" s="16"/>
      <c r="H7" s="16"/>
    </row>
    <row r="8" spans="4:20" x14ac:dyDescent="0.25">
      <c r="F8" s="25" t="s">
        <v>20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4:20" x14ac:dyDescent="0.25">
      <c r="F9" s="22" t="s">
        <v>3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4:20" x14ac:dyDescent="0.25">
      <c r="D10" s="15" t="s">
        <v>0</v>
      </c>
      <c r="E10" s="15" t="s">
        <v>19</v>
      </c>
      <c r="F10" s="15">
        <v>0</v>
      </c>
      <c r="G10" s="15">
        <v>1</v>
      </c>
      <c r="H10" s="15">
        <v>2</v>
      </c>
      <c r="I10" s="15">
        <v>3</v>
      </c>
      <c r="J10" s="15">
        <v>4</v>
      </c>
      <c r="K10" s="15">
        <v>5</v>
      </c>
      <c r="L10" s="15">
        <v>6</v>
      </c>
      <c r="M10" s="15">
        <v>7</v>
      </c>
      <c r="N10" s="15">
        <v>8</v>
      </c>
      <c r="O10" s="15">
        <v>9</v>
      </c>
      <c r="P10" s="15">
        <v>10</v>
      </c>
      <c r="Q10" s="15">
        <v>11</v>
      </c>
      <c r="R10" s="15">
        <v>12</v>
      </c>
      <c r="S10" s="15">
        <v>13</v>
      </c>
      <c r="T10" s="15">
        <v>14</v>
      </c>
    </row>
    <row r="11" spans="4:20" x14ac:dyDescent="0.25">
      <c r="D11" s="12">
        <v>75</v>
      </c>
      <c r="E11" s="13">
        <v>100.5</v>
      </c>
      <c r="F11" s="14">
        <f>((E11-$I$3)*$I$5)*$I$6</f>
        <v>1694.4199999999998</v>
      </c>
      <c r="G11" s="14">
        <f>((($E11-$I$3)-($I$4*G$10))*$I$5)*$I$6</f>
        <v>1669.6705999999999</v>
      </c>
      <c r="H11" s="14">
        <f t="shared" ref="H11:T26" si="0">((($E11-$I$3)-($I$4*H$10))*$I$5)*$I$6</f>
        <v>1644.9211999999998</v>
      </c>
      <c r="I11" s="14">
        <f t="shared" si="0"/>
        <v>1620.1717999999998</v>
      </c>
      <c r="J11" s="14">
        <f t="shared" si="0"/>
        <v>1595.4223999999999</v>
      </c>
      <c r="K11" s="14">
        <f t="shared" si="0"/>
        <v>1570.6729999999998</v>
      </c>
      <c r="L11" s="14">
        <f t="shared" si="0"/>
        <v>1545.9235999999999</v>
      </c>
      <c r="M11" s="14">
        <f t="shared" si="0"/>
        <v>1521.1741999999997</v>
      </c>
      <c r="N11" s="14">
        <f t="shared" si="0"/>
        <v>1496.4247999999998</v>
      </c>
      <c r="O11" s="14">
        <f t="shared" si="0"/>
        <v>1471.6753999999999</v>
      </c>
      <c r="P11" s="14">
        <f t="shared" si="0"/>
        <v>1446.9259999999999</v>
      </c>
      <c r="Q11" s="14">
        <f t="shared" si="0"/>
        <v>1422.1765999999998</v>
      </c>
      <c r="R11" s="14">
        <f t="shared" si="0"/>
        <v>1397.4271999999999</v>
      </c>
      <c r="S11" s="14">
        <f t="shared" si="0"/>
        <v>1372.6777999999999</v>
      </c>
      <c r="T11" s="14">
        <f t="shared" si="0"/>
        <v>1347.9283999999998</v>
      </c>
    </row>
    <row r="12" spans="4:20" x14ac:dyDescent="0.25">
      <c r="D12" s="12">
        <v>76</v>
      </c>
      <c r="E12" s="13">
        <v>101.84</v>
      </c>
      <c r="F12" s="14">
        <f>((E12-$I$3)*$I$5)*$I$6</f>
        <v>1727.5179999999998</v>
      </c>
      <c r="G12" s="14">
        <f t="shared" ref="G12:T36" si="1">((($E12-$I$3)-($I$4*G$10))*$I$5)*$I$6</f>
        <v>1702.7686000000001</v>
      </c>
      <c r="H12" s="14">
        <f t="shared" si="0"/>
        <v>1678.0191999999997</v>
      </c>
      <c r="I12" s="14">
        <f t="shared" si="0"/>
        <v>1653.2697999999998</v>
      </c>
      <c r="J12" s="14">
        <f t="shared" si="0"/>
        <v>1628.5204000000001</v>
      </c>
      <c r="K12" s="14">
        <f t="shared" si="0"/>
        <v>1603.7709999999997</v>
      </c>
      <c r="L12" s="14">
        <f t="shared" si="0"/>
        <v>1579.0215999999998</v>
      </c>
      <c r="M12" s="14">
        <f t="shared" si="0"/>
        <v>1554.2721999999999</v>
      </c>
      <c r="N12" s="14">
        <f t="shared" si="0"/>
        <v>1529.5228</v>
      </c>
      <c r="O12" s="14">
        <f t="shared" si="0"/>
        <v>1504.7733999999998</v>
      </c>
      <c r="P12" s="14">
        <f t="shared" si="0"/>
        <v>1480.0239999999999</v>
      </c>
      <c r="Q12" s="14">
        <f t="shared" si="0"/>
        <v>1455.2746</v>
      </c>
      <c r="R12" s="14">
        <f t="shared" si="0"/>
        <v>1430.5251999999998</v>
      </c>
      <c r="S12" s="14">
        <f t="shared" si="0"/>
        <v>1405.7757999999999</v>
      </c>
      <c r="T12" s="14">
        <f t="shared" si="0"/>
        <v>1381.0264</v>
      </c>
    </row>
    <row r="13" spans="4:20" x14ac:dyDescent="0.25">
      <c r="D13" s="12">
        <v>77</v>
      </c>
      <c r="E13" s="13">
        <v>103.18</v>
      </c>
      <c r="F13" s="14">
        <f t="shared" ref="F13:F36" si="2">((E13-$I$3)*$I$5)*$I$6</f>
        <v>1760.616</v>
      </c>
      <c r="G13" s="14">
        <f t="shared" si="1"/>
        <v>1735.8666000000001</v>
      </c>
      <c r="H13" s="14">
        <f t="shared" si="0"/>
        <v>1711.1171999999999</v>
      </c>
      <c r="I13" s="14">
        <f t="shared" si="0"/>
        <v>1686.3678</v>
      </c>
      <c r="J13" s="14">
        <f t="shared" si="0"/>
        <v>1661.6184000000001</v>
      </c>
      <c r="K13" s="14">
        <f t="shared" si="0"/>
        <v>1636.8689999999999</v>
      </c>
      <c r="L13" s="14">
        <f t="shared" si="0"/>
        <v>1612.1196</v>
      </c>
      <c r="M13" s="14">
        <f t="shared" si="0"/>
        <v>1587.3702000000001</v>
      </c>
      <c r="N13" s="14">
        <f t="shared" si="0"/>
        <v>1562.6207999999999</v>
      </c>
      <c r="O13" s="14">
        <f t="shared" si="0"/>
        <v>1537.8714</v>
      </c>
      <c r="P13" s="14">
        <f t="shared" si="0"/>
        <v>1513.1220000000001</v>
      </c>
      <c r="Q13" s="14">
        <f t="shared" si="0"/>
        <v>1488.3725999999999</v>
      </c>
      <c r="R13" s="14">
        <f t="shared" si="0"/>
        <v>1463.6232</v>
      </c>
      <c r="S13" s="14">
        <f t="shared" si="0"/>
        <v>1438.8738000000001</v>
      </c>
      <c r="T13" s="14">
        <f t="shared" si="0"/>
        <v>1414.1243999999999</v>
      </c>
    </row>
    <row r="14" spans="4:20" x14ac:dyDescent="0.25">
      <c r="D14" s="12">
        <v>78</v>
      </c>
      <c r="E14" s="13">
        <v>104.52</v>
      </c>
      <c r="F14" s="14">
        <f t="shared" si="2"/>
        <v>1793.7140000000002</v>
      </c>
      <c r="G14" s="14">
        <f t="shared" si="1"/>
        <v>1768.9646000000002</v>
      </c>
      <c r="H14" s="14">
        <f t="shared" si="0"/>
        <v>1744.2151999999999</v>
      </c>
      <c r="I14" s="14">
        <f t="shared" si="0"/>
        <v>1719.4657999999999</v>
      </c>
      <c r="J14" s="14">
        <f t="shared" si="0"/>
        <v>1694.7164000000002</v>
      </c>
      <c r="K14" s="14">
        <f t="shared" si="0"/>
        <v>1669.9669999999999</v>
      </c>
      <c r="L14" s="14">
        <f t="shared" si="0"/>
        <v>1645.2175999999999</v>
      </c>
      <c r="M14" s="14">
        <f t="shared" si="0"/>
        <v>1620.4682000000003</v>
      </c>
      <c r="N14" s="14">
        <f t="shared" si="0"/>
        <v>1595.7187999999999</v>
      </c>
      <c r="O14" s="14">
        <f t="shared" si="0"/>
        <v>1570.9694</v>
      </c>
      <c r="P14" s="14">
        <f t="shared" si="0"/>
        <v>1546.2200000000003</v>
      </c>
      <c r="Q14" s="14">
        <f t="shared" si="0"/>
        <v>1521.4706000000001</v>
      </c>
      <c r="R14" s="14">
        <f t="shared" si="0"/>
        <v>1496.7212</v>
      </c>
      <c r="S14" s="14">
        <f t="shared" si="0"/>
        <v>1471.9718000000003</v>
      </c>
      <c r="T14" s="14">
        <f t="shared" si="0"/>
        <v>1447.2224000000001</v>
      </c>
    </row>
    <row r="15" spans="4:20" x14ac:dyDescent="0.25">
      <c r="D15" s="12">
        <v>79</v>
      </c>
      <c r="E15" s="13">
        <v>105.86</v>
      </c>
      <c r="F15" s="14">
        <f t="shared" si="2"/>
        <v>1826.8120000000001</v>
      </c>
      <c r="G15" s="14">
        <f t="shared" si="1"/>
        <v>1802.0626000000002</v>
      </c>
      <c r="H15" s="14">
        <f t="shared" si="0"/>
        <v>1777.3132000000001</v>
      </c>
      <c r="I15" s="14">
        <f t="shared" si="0"/>
        <v>1752.5638000000001</v>
      </c>
      <c r="J15" s="14">
        <f t="shared" si="0"/>
        <v>1727.8144000000002</v>
      </c>
      <c r="K15" s="14">
        <f t="shared" si="0"/>
        <v>1703.0650000000001</v>
      </c>
      <c r="L15" s="14">
        <f t="shared" si="0"/>
        <v>1678.3156000000001</v>
      </c>
      <c r="M15" s="14">
        <f t="shared" si="0"/>
        <v>1653.5662000000002</v>
      </c>
      <c r="N15" s="14">
        <f t="shared" si="0"/>
        <v>1628.8168000000001</v>
      </c>
      <c r="O15" s="14">
        <f t="shared" si="0"/>
        <v>1604.0674000000001</v>
      </c>
      <c r="P15" s="14">
        <f t="shared" si="0"/>
        <v>1579.3180000000002</v>
      </c>
      <c r="Q15" s="14">
        <f t="shared" si="0"/>
        <v>1554.5686000000003</v>
      </c>
      <c r="R15" s="14">
        <f t="shared" si="0"/>
        <v>1529.8192000000001</v>
      </c>
      <c r="S15" s="14">
        <f t="shared" si="0"/>
        <v>1505.0698000000002</v>
      </c>
      <c r="T15" s="14">
        <f t="shared" si="0"/>
        <v>1480.3204000000003</v>
      </c>
    </row>
    <row r="16" spans="4:20" x14ac:dyDescent="0.25">
      <c r="D16" s="12">
        <v>80</v>
      </c>
      <c r="E16" s="13">
        <v>107.2</v>
      </c>
      <c r="F16" s="14">
        <f t="shared" si="2"/>
        <v>1859.9100000000003</v>
      </c>
      <c r="G16" s="14">
        <f t="shared" si="1"/>
        <v>1835.1606000000004</v>
      </c>
      <c r="H16" s="14">
        <f t="shared" si="0"/>
        <v>1810.4112</v>
      </c>
      <c r="I16" s="14">
        <f t="shared" si="0"/>
        <v>1785.6618000000003</v>
      </c>
      <c r="J16" s="14">
        <f t="shared" si="0"/>
        <v>1760.9124000000004</v>
      </c>
      <c r="K16" s="14">
        <f t="shared" si="0"/>
        <v>1736.163</v>
      </c>
      <c r="L16" s="14">
        <f t="shared" si="0"/>
        <v>1711.4136000000003</v>
      </c>
      <c r="M16" s="14">
        <f t="shared" si="0"/>
        <v>1686.6642000000004</v>
      </c>
      <c r="N16" s="14">
        <f t="shared" si="0"/>
        <v>1661.9148</v>
      </c>
      <c r="O16" s="14">
        <f t="shared" si="0"/>
        <v>1637.1654000000003</v>
      </c>
      <c r="P16" s="14">
        <f t="shared" si="0"/>
        <v>1612.4160000000004</v>
      </c>
      <c r="Q16" s="14">
        <f t="shared" si="0"/>
        <v>1587.6666</v>
      </c>
      <c r="R16" s="14">
        <f t="shared" si="0"/>
        <v>1562.9172000000003</v>
      </c>
      <c r="S16" s="14">
        <f t="shared" si="0"/>
        <v>1538.1678000000004</v>
      </c>
      <c r="T16" s="14">
        <f t="shared" si="0"/>
        <v>1513.4184000000002</v>
      </c>
    </row>
    <row r="17" spans="4:20" x14ac:dyDescent="0.25">
      <c r="D17" s="12">
        <v>81</v>
      </c>
      <c r="E17" s="13">
        <v>108.54</v>
      </c>
      <c r="F17" s="14">
        <f t="shared" si="2"/>
        <v>1893.0080000000003</v>
      </c>
      <c r="G17" s="14">
        <f t="shared" si="1"/>
        <v>1868.2586000000003</v>
      </c>
      <c r="H17" s="14">
        <f t="shared" si="0"/>
        <v>1843.5092000000002</v>
      </c>
      <c r="I17" s="14">
        <f t="shared" si="0"/>
        <v>1818.7598000000003</v>
      </c>
      <c r="J17" s="14">
        <f t="shared" si="0"/>
        <v>1794.0104000000003</v>
      </c>
      <c r="K17" s="14">
        <f t="shared" si="0"/>
        <v>1769.2610000000002</v>
      </c>
      <c r="L17" s="14">
        <f t="shared" si="0"/>
        <v>1744.5116000000003</v>
      </c>
      <c r="M17" s="14">
        <f t="shared" si="0"/>
        <v>1719.7622000000003</v>
      </c>
      <c r="N17" s="14">
        <f t="shared" si="0"/>
        <v>1695.0128000000002</v>
      </c>
      <c r="O17" s="14">
        <f t="shared" si="0"/>
        <v>1670.2634000000003</v>
      </c>
      <c r="P17" s="14">
        <f t="shared" si="0"/>
        <v>1645.5140000000004</v>
      </c>
      <c r="Q17" s="14">
        <f t="shared" si="0"/>
        <v>1620.7646000000002</v>
      </c>
      <c r="R17" s="14">
        <f t="shared" si="0"/>
        <v>1596.0152000000003</v>
      </c>
      <c r="S17" s="14">
        <f t="shared" si="0"/>
        <v>1571.2658000000004</v>
      </c>
      <c r="T17" s="14">
        <f t="shared" si="0"/>
        <v>1546.5164000000004</v>
      </c>
    </row>
    <row r="18" spans="4:20" x14ac:dyDescent="0.25">
      <c r="D18" s="12">
        <v>82</v>
      </c>
      <c r="E18" s="13">
        <v>109.88</v>
      </c>
      <c r="F18" s="14">
        <f t="shared" si="2"/>
        <v>1926.1059999999998</v>
      </c>
      <c r="G18" s="14">
        <f t="shared" si="1"/>
        <v>1901.3565999999998</v>
      </c>
      <c r="H18" s="14">
        <f t="shared" si="0"/>
        <v>1876.6071999999995</v>
      </c>
      <c r="I18" s="14">
        <f t="shared" si="0"/>
        <v>1851.8577999999998</v>
      </c>
      <c r="J18" s="14">
        <f t="shared" si="0"/>
        <v>1827.1083999999998</v>
      </c>
      <c r="K18" s="14">
        <f t="shared" si="0"/>
        <v>1802.3589999999995</v>
      </c>
      <c r="L18" s="14">
        <f t="shared" si="0"/>
        <v>1777.6095999999998</v>
      </c>
      <c r="M18" s="14">
        <f t="shared" si="0"/>
        <v>1752.8601999999998</v>
      </c>
      <c r="N18" s="14">
        <f t="shared" si="0"/>
        <v>1728.1107999999995</v>
      </c>
      <c r="O18" s="14">
        <f t="shared" si="0"/>
        <v>1703.3613999999998</v>
      </c>
      <c r="P18" s="14">
        <f t="shared" si="0"/>
        <v>1678.6119999999999</v>
      </c>
      <c r="Q18" s="14">
        <f t="shared" si="0"/>
        <v>1653.8625999999995</v>
      </c>
      <c r="R18" s="14">
        <f t="shared" si="0"/>
        <v>1629.1131999999998</v>
      </c>
      <c r="S18" s="14">
        <f t="shared" si="0"/>
        <v>1604.3637999999999</v>
      </c>
      <c r="T18" s="14">
        <f t="shared" si="0"/>
        <v>1579.6143999999997</v>
      </c>
    </row>
    <row r="19" spans="4:20" x14ac:dyDescent="0.25">
      <c r="D19" s="12">
        <v>83</v>
      </c>
      <c r="E19" s="13">
        <v>111.22</v>
      </c>
      <c r="F19" s="14">
        <f t="shared" si="2"/>
        <v>1959.2039999999997</v>
      </c>
      <c r="G19" s="14">
        <f t="shared" si="1"/>
        <v>1934.4545999999998</v>
      </c>
      <c r="H19" s="14">
        <f t="shared" si="0"/>
        <v>1909.7051999999996</v>
      </c>
      <c r="I19" s="14">
        <f t="shared" si="0"/>
        <v>1884.9557999999997</v>
      </c>
      <c r="J19" s="14">
        <f t="shared" si="0"/>
        <v>1860.2063999999998</v>
      </c>
      <c r="K19" s="14">
        <f t="shared" si="0"/>
        <v>1835.4569999999997</v>
      </c>
      <c r="L19" s="14">
        <f t="shared" si="0"/>
        <v>1810.7075999999997</v>
      </c>
      <c r="M19" s="14">
        <f t="shared" si="0"/>
        <v>1785.9581999999998</v>
      </c>
      <c r="N19" s="14">
        <f t="shared" si="0"/>
        <v>1761.2087999999997</v>
      </c>
      <c r="O19" s="14">
        <f t="shared" si="0"/>
        <v>1736.4593999999997</v>
      </c>
      <c r="P19" s="14">
        <f t="shared" si="0"/>
        <v>1711.7099999999998</v>
      </c>
      <c r="Q19" s="14">
        <f t="shared" si="0"/>
        <v>1686.9605999999997</v>
      </c>
      <c r="R19" s="14">
        <f t="shared" si="0"/>
        <v>1662.2111999999997</v>
      </c>
      <c r="S19" s="14">
        <f t="shared" si="0"/>
        <v>1637.4617999999998</v>
      </c>
      <c r="T19" s="14">
        <f t="shared" si="0"/>
        <v>1612.7123999999997</v>
      </c>
    </row>
    <row r="20" spans="4:20" x14ac:dyDescent="0.25">
      <c r="D20" s="12">
        <v>84</v>
      </c>
      <c r="E20" s="13">
        <v>112.56</v>
      </c>
      <c r="F20" s="14">
        <f t="shared" si="2"/>
        <v>1992.3019999999999</v>
      </c>
      <c r="G20" s="14">
        <f t="shared" si="1"/>
        <v>1967.5526</v>
      </c>
      <c r="H20" s="14">
        <f t="shared" si="0"/>
        <v>1942.8031999999998</v>
      </c>
      <c r="I20" s="14">
        <f t="shared" si="0"/>
        <v>1918.0537999999999</v>
      </c>
      <c r="J20" s="14">
        <f t="shared" si="0"/>
        <v>1893.3044</v>
      </c>
      <c r="K20" s="14">
        <f t="shared" si="0"/>
        <v>1868.5549999999998</v>
      </c>
      <c r="L20" s="14">
        <f t="shared" si="0"/>
        <v>1843.8055999999999</v>
      </c>
      <c r="M20" s="14">
        <f t="shared" si="0"/>
        <v>1819.0562</v>
      </c>
      <c r="N20" s="14">
        <f t="shared" si="0"/>
        <v>1794.3067999999998</v>
      </c>
      <c r="O20" s="14">
        <f t="shared" si="0"/>
        <v>1769.5573999999999</v>
      </c>
      <c r="P20" s="14">
        <f t="shared" si="0"/>
        <v>1744.808</v>
      </c>
      <c r="Q20" s="14">
        <f t="shared" si="0"/>
        <v>1720.0585999999998</v>
      </c>
      <c r="R20" s="14">
        <f t="shared" si="0"/>
        <v>1695.3091999999999</v>
      </c>
      <c r="S20" s="14">
        <f t="shared" si="0"/>
        <v>1670.5598</v>
      </c>
      <c r="T20" s="14">
        <f t="shared" si="0"/>
        <v>1645.8103999999996</v>
      </c>
    </row>
    <row r="21" spans="4:20" x14ac:dyDescent="0.25">
      <c r="D21" s="12">
        <v>85</v>
      </c>
      <c r="E21" s="13">
        <v>113.9</v>
      </c>
      <c r="F21" s="14">
        <f t="shared" si="2"/>
        <v>2025.3999999999999</v>
      </c>
      <c r="G21" s="14">
        <f t="shared" si="1"/>
        <v>2000.6506000000002</v>
      </c>
      <c r="H21" s="14">
        <f t="shared" si="0"/>
        <v>1975.9011999999998</v>
      </c>
      <c r="I21" s="14">
        <f t="shared" si="0"/>
        <v>1951.1517999999999</v>
      </c>
      <c r="J21" s="14">
        <f t="shared" si="0"/>
        <v>1926.4023999999999</v>
      </c>
      <c r="K21" s="14">
        <f t="shared" si="0"/>
        <v>1901.6529999999998</v>
      </c>
      <c r="L21" s="14">
        <f t="shared" si="0"/>
        <v>1876.9035999999999</v>
      </c>
      <c r="M21" s="14">
        <f t="shared" si="0"/>
        <v>1852.1541999999999</v>
      </c>
      <c r="N21" s="14">
        <f t="shared" si="0"/>
        <v>1827.4047999999998</v>
      </c>
      <c r="O21" s="14">
        <f t="shared" si="0"/>
        <v>1802.6553999999999</v>
      </c>
      <c r="P21" s="14">
        <f t="shared" si="0"/>
        <v>1777.9059999999999</v>
      </c>
      <c r="Q21" s="14">
        <f t="shared" si="0"/>
        <v>1753.1565999999998</v>
      </c>
      <c r="R21" s="14">
        <f t="shared" si="0"/>
        <v>1728.4071999999999</v>
      </c>
      <c r="S21" s="14">
        <f t="shared" si="0"/>
        <v>1703.6578</v>
      </c>
      <c r="T21" s="14">
        <f t="shared" si="0"/>
        <v>1678.9083999999998</v>
      </c>
    </row>
    <row r="22" spans="4:20" x14ac:dyDescent="0.25">
      <c r="D22" s="12">
        <v>86</v>
      </c>
      <c r="E22" s="13">
        <v>115.24</v>
      </c>
      <c r="F22" s="14">
        <f t="shared" si="2"/>
        <v>2058.498</v>
      </c>
      <c r="G22" s="14">
        <f t="shared" si="1"/>
        <v>2033.7486000000001</v>
      </c>
      <c r="H22" s="14">
        <f t="shared" si="0"/>
        <v>2008.9992</v>
      </c>
      <c r="I22" s="14">
        <f t="shared" si="0"/>
        <v>1984.2498000000001</v>
      </c>
      <c r="J22" s="14">
        <f t="shared" si="0"/>
        <v>1959.5004000000001</v>
      </c>
      <c r="K22" s="14">
        <f t="shared" si="0"/>
        <v>1934.751</v>
      </c>
      <c r="L22" s="14">
        <f t="shared" si="0"/>
        <v>1910.0016000000001</v>
      </c>
      <c r="M22" s="14">
        <f t="shared" si="0"/>
        <v>1885.2522000000001</v>
      </c>
      <c r="N22" s="14">
        <f t="shared" si="0"/>
        <v>1860.5028</v>
      </c>
      <c r="O22" s="14">
        <f t="shared" si="0"/>
        <v>1835.7534000000001</v>
      </c>
      <c r="P22" s="14">
        <f t="shared" si="0"/>
        <v>1811.0040000000001</v>
      </c>
      <c r="Q22" s="14">
        <f t="shared" si="0"/>
        <v>1786.2546</v>
      </c>
      <c r="R22" s="14">
        <f t="shared" si="0"/>
        <v>1761.5052000000001</v>
      </c>
      <c r="S22" s="14">
        <f t="shared" si="0"/>
        <v>1736.7558000000001</v>
      </c>
      <c r="T22" s="14">
        <f t="shared" si="0"/>
        <v>1712.0064</v>
      </c>
    </row>
    <row r="23" spans="4:20" x14ac:dyDescent="0.25">
      <c r="D23" s="12">
        <v>87</v>
      </c>
      <c r="E23" s="13">
        <v>116.58</v>
      </c>
      <c r="F23" s="14">
        <f t="shared" si="2"/>
        <v>2091.596</v>
      </c>
      <c r="G23" s="14">
        <f t="shared" si="1"/>
        <v>2066.8466000000003</v>
      </c>
      <c r="H23" s="14">
        <f t="shared" si="0"/>
        <v>2042.0971999999999</v>
      </c>
      <c r="I23" s="14">
        <f t="shared" si="0"/>
        <v>2017.3478</v>
      </c>
      <c r="J23" s="14">
        <f t="shared" si="0"/>
        <v>1992.5984000000003</v>
      </c>
      <c r="K23" s="14">
        <f t="shared" si="0"/>
        <v>1967.8489999999999</v>
      </c>
      <c r="L23" s="14">
        <f t="shared" si="0"/>
        <v>1943.0996</v>
      </c>
      <c r="M23" s="14">
        <f t="shared" si="0"/>
        <v>1918.3502000000003</v>
      </c>
      <c r="N23" s="14">
        <f t="shared" si="0"/>
        <v>1893.6007999999999</v>
      </c>
      <c r="O23" s="14">
        <f t="shared" si="0"/>
        <v>1868.8514</v>
      </c>
      <c r="P23" s="14">
        <f t="shared" si="0"/>
        <v>1844.1020000000003</v>
      </c>
      <c r="Q23" s="14">
        <f t="shared" si="0"/>
        <v>1819.3525999999999</v>
      </c>
      <c r="R23" s="14">
        <f t="shared" si="0"/>
        <v>1794.6032</v>
      </c>
      <c r="S23" s="14">
        <f t="shared" si="0"/>
        <v>1769.8538000000003</v>
      </c>
      <c r="T23" s="14">
        <f t="shared" si="0"/>
        <v>1745.1043999999999</v>
      </c>
    </row>
    <row r="24" spans="4:20" x14ac:dyDescent="0.25">
      <c r="D24" s="12">
        <v>88</v>
      </c>
      <c r="E24" s="13">
        <v>117.92</v>
      </c>
      <c r="F24" s="14">
        <f t="shared" si="2"/>
        <v>2124.6940000000004</v>
      </c>
      <c r="G24" s="14">
        <f t="shared" si="1"/>
        <v>2099.9446000000003</v>
      </c>
      <c r="H24" s="14">
        <f t="shared" si="0"/>
        <v>2075.1952000000001</v>
      </c>
      <c r="I24" s="14">
        <f t="shared" si="0"/>
        <v>2050.4458</v>
      </c>
      <c r="J24" s="14">
        <f t="shared" si="0"/>
        <v>2025.6964000000003</v>
      </c>
      <c r="K24" s="14">
        <f t="shared" si="0"/>
        <v>2000.9470000000001</v>
      </c>
      <c r="L24" s="14">
        <f t="shared" si="0"/>
        <v>1976.1976000000002</v>
      </c>
      <c r="M24" s="14">
        <f t="shared" si="0"/>
        <v>1951.4482000000003</v>
      </c>
      <c r="N24" s="14">
        <f t="shared" si="0"/>
        <v>1926.6988000000001</v>
      </c>
      <c r="O24" s="14">
        <f t="shared" si="0"/>
        <v>1901.9494000000002</v>
      </c>
      <c r="P24" s="14">
        <f t="shared" si="0"/>
        <v>1877.2000000000003</v>
      </c>
      <c r="Q24" s="14">
        <f t="shared" si="0"/>
        <v>1852.4506000000001</v>
      </c>
      <c r="R24" s="14">
        <f t="shared" si="0"/>
        <v>1827.7012000000002</v>
      </c>
      <c r="S24" s="14">
        <f t="shared" si="0"/>
        <v>1802.9518000000003</v>
      </c>
      <c r="T24" s="14">
        <f t="shared" si="0"/>
        <v>1778.2024000000001</v>
      </c>
    </row>
    <row r="25" spans="4:20" x14ac:dyDescent="0.25">
      <c r="D25" s="12">
        <v>89</v>
      </c>
      <c r="E25" s="13">
        <v>119.26</v>
      </c>
      <c r="F25" s="14">
        <f t="shared" si="2"/>
        <v>2157.7920000000004</v>
      </c>
      <c r="G25" s="14">
        <f t="shared" si="1"/>
        <v>2133.0426000000002</v>
      </c>
      <c r="H25" s="14">
        <f t="shared" si="0"/>
        <v>2108.2932000000001</v>
      </c>
      <c r="I25" s="14">
        <f t="shared" si="0"/>
        <v>2083.5438000000004</v>
      </c>
      <c r="J25" s="14">
        <f t="shared" si="0"/>
        <v>2058.7944000000002</v>
      </c>
      <c r="K25" s="14">
        <f t="shared" si="0"/>
        <v>2034.0450000000001</v>
      </c>
      <c r="L25" s="14">
        <f t="shared" si="0"/>
        <v>2009.2956000000004</v>
      </c>
      <c r="M25" s="14">
        <f t="shared" si="0"/>
        <v>1984.5462000000005</v>
      </c>
      <c r="N25" s="14">
        <f t="shared" si="0"/>
        <v>1959.7968000000001</v>
      </c>
      <c r="O25" s="14">
        <f t="shared" si="0"/>
        <v>1935.0474000000002</v>
      </c>
      <c r="P25" s="14">
        <f t="shared" si="0"/>
        <v>1910.2980000000005</v>
      </c>
      <c r="Q25" s="14">
        <f t="shared" si="0"/>
        <v>1885.5486000000001</v>
      </c>
      <c r="R25" s="14">
        <f t="shared" si="0"/>
        <v>1860.7992000000002</v>
      </c>
      <c r="S25" s="14">
        <f t="shared" si="0"/>
        <v>1836.0498000000005</v>
      </c>
      <c r="T25" s="14">
        <f t="shared" si="0"/>
        <v>1811.3004000000001</v>
      </c>
    </row>
    <row r="26" spans="4:20" x14ac:dyDescent="0.25">
      <c r="D26" s="12">
        <v>90</v>
      </c>
      <c r="E26" s="13">
        <v>120.6</v>
      </c>
      <c r="F26" s="14">
        <f t="shared" si="2"/>
        <v>2190.89</v>
      </c>
      <c r="G26" s="14">
        <f t="shared" si="1"/>
        <v>2166.1405999999997</v>
      </c>
      <c r="H26" s="14">
        <f t="shared" si="0"/>
        <v>2141.3911999999996</v>
      </c>
      <c r="I26" s="14">
        <f t="shared" si="0"/>
        <v>2116.6417999999999</v>
      </c>
      <c r="J26" s="14">
        <f t="shared" si="0"/>
        <v>2091.8923999999997</v>
      </c>
      <c r="K26" s="14">
        <f t="shared" si="0"/>
        <v>2067.1429999999996</v>
      </c>
      <c r="L26" s="14">
        <f t="shared" si="0"/>
        <v>2042.3935999999997</v>
      </c>
      <c r="M26" s="14">
        <f t="shared" si="0"/>
        <v>2017.6441999999997</v>
      </c>
      <c r="N26" s="14">
        <f t="shared" si="0"/>
        <v>1992.8947999999996</v>
      </c>
      <c r="O26" s="14">
        <f t="shared" si="0"/>
        <v>1968.1453999999997</v>
      </c>
      <c r="P26" s="14">
        <f t="shared" si="0"/>
        <v>1943.3959999999997</v>
      </c>
      <c r="Q26" s="14">
        <f t="shared" si="0"/>
        <v>1918.6465999999996</v>
      </c>
      <c r="R26" s="14">
        <f t="shared" si="0"/>
        <v>1893.8971999999997</v>
      </c>
      <c r="S26" s="14">
        <f t="shared" si="0"/>
        <v>1869.1477999999997</v>
      </c>
      <c r="T26" s="14">
        <f t="shared" si="0"/>
        <v>1844.3983999999996</v>
      </c>
    </row>
    <row r="27" spans="4:20" x14ac:dyDescent="0.25">
      <c r="D27" s="12">
        <v>91</v>
      </c>
      <c r="E27" s="13">
        <v>121.94</v>
      </c>
      <c r="F27" s="14">
        <f t="shared" si="2"/>
        <v>2223.9879999999998</v>
      </c>
      <c r="G27" s="14">
        <f t="shared" si="1"/>
        <v>2199.2385999999997</v>
      </c>
      <c r="H27" s="14">
        <f t="shared" si="1"/>
        <v>2174.4891999999995</v>
      </c>
      <c r="I27" s="14">
        <f t="shared" si="1"/>
        <v>2149.7397999999998</v>
      </c>
      <c r="J27" s="14">
        <f t="shared" si="1"/>
        <v>2124.9903999999997</v>
      </c>
      <c r="K27" s="14">
        <f t="shared" si="1"/>
        <v>2100.2409999999995</v>
      </c>
      <c r="L27" s="14">
        <f t="shared" si="1"/>
        <v>2075.4915999999998</v>
      </c>
      <c r="M27" s="14">
        <f t="shared" si="1"/>
        <v>2050.7421999999997</v>
      </c>
      <c r="N27" s="14">
        <f t="shared" si="1"/>
        <v>2025.9927999999995</v>
      </c>
      <c r="O27" s="14">
        <f t="shared" si="1"/>
        <v>2001.2433999999998</v>
      </c>
      <c r="P27" s="14">
        <f t="shared" si="1"/>
        <v>1976.4939999999999</v>
      </c>
      <c r="Q27" s="14">
        <f t="shared" si="1"/>
        <v>1951.7445999999995</v>
      </c>
      <c r="R27" s="14">
        <f t="shared" si="1"/>
        <v>1926.9951999999996</v>
      </c>
      <c r="S27" s="14">
        <f t="shared" si="1"/>
        <v>1902.2457999999999</v>
      </c>
      <c r="T27" s="14">
        <f t="shared" si="1"/>
        <v>1877.4963999999995</v>
      </c>
    </row>
    <row r="28" spans="4:20" x14ac:dyDescent="0.25">
      <c r="D28" s="12">
        <v>92</v>
      </c>
      <c r="E28" s="13">
        <v>123.28</v>
      </c>
      <c r="F28" s="14">
        <f t="shared" si="2"/>
        <v>2257.0859999999998</v>
      </c>
      <c r="G28" s="14">
        <f t="shared" si="1"/>
        <v>2232.3366000000001</v>
      </c>
      <c r="H28" s="14">
        <f t="shared" si="1"/>
        <v>2207.5871999999995</v>
      </c>
      <c r="I28" s="14">
        <f t="shared" si="1"/>
        <v>2182.8377999999998</v>
      </c>
      <c r="J28" s="14">
        <f t="shared" si="1"/>
        <v>2158.0884000000001</v>
      </c>
      <c r="K28" s="14">
        <f t="shared" si="1"/>
        <v>2133.3389999999995</v>
      </c>
      <c r="L28" s="14">
        <f t="shared" si="1"/>
        <v>2108.5895999999998</v>
      </c>
      <c r="M28" s="14">
        <f t="shared" si="1"/>
        <v>2083.8402000000001</v>
      </c>
      <c r="N28" s="14">
        <f t="shared" si="1"/>
        <v>2059.0907999999995</v>
      </c>
      <c r="O28" s="14">
        <f t="shared" si="1"/>
        <v>2034.3413999999998</v>
      </c>
      <c r="P28" s="14">
        <f t="shared" si="1"/>
        <v>2009.5919999999999</v>
      </c>
      <c r="Q28" s="14">
        <f t="shared" si="1"/>
        <v>1984.8425999999997</v>
      </c>
      <c r="R28" s="14">
        <f t="shared" si="1"/>
        <v>1960.0931999999998</v>
      </c>
      <c r="S28" s="14">
        <f t="shared" si="1"/>
        <v>1935.3437999999999</v>
      </c>
      <c r="T28" s="14">
        <f t="shared" si="1"/>
        <v>1910.5943999999997</v>
      </c>
    </row>
    <row r="29" spans="4:20" x14ac:dyDescent="0.25">
      <c r="D29" s="12">
        <v>93</v>
      </c>
      <c r="E29" s="13">
        <v>124.62</v>
      </c>
      <c r="F29" s="14">
        <f t="shared" si="2"/>
        <v>2290.1839999999997</v>
      </c>
      <c r="G29" s="14">
        <f t="shared" si="1"/>
        <v>2265.4346</v>
      </c>
      <c r="H29" s="14">
        <f t="shared" si="1"/>
        <v>2240.6851999999999</v>
      </c>
      <c r="I29" s="14">
        <f t="shared" si="1"/>
        <v>2215.9357999999997</v>
      </c>
      <c r="J29" s="14">
        <f t="shared" si="1"/>
        <v>2191.1864</v>
      </c>
      <c r="K29" s="14">
        <f t="shared" si="1"/>
        <v>2166.4369999999999</v>
      </c>
      <c r="L29" s="14">
        <f t="shared" si="1"/>
        <v>2141.6875999999997</v>
      </c>
      <c r="M29" s="14">
        <f t="shared" si="1"/>
        <v>2116.9382000000001</v>
      </c>
      <c r="N29" s="14">
        <f t="shared" si="1"/>
        <v>2092.1887999999999</v>
      </c>
      <c r="O29" s="14">
        <f t="shared" si="1"/>
        <v>2067.4393999999998</v>
      </c>
      <c r="P29" s="14">
        <f t="shared" si="1"/>
        <v>2042.69</v>
      </c>
      <c r="Q29" s="14">
        <f t="shared" si="1"/>
        <v>2017.9405999999997</v>
      </c>
      <c r="R29" s="14">
        <f t="shared" si="1"/>
        <v>1993.1912</v>
      </c>
      <c r="S29" s="14">
        <f t="shared" si="1"/>
        <v>1968.4418000000001</v>
      </c>
      <c r="T29" s="14">
        <f t="shared" si="1"/>
        <v>1943.6923999999997</v>
      </c>
    </row>
    <row r="30" spans="4:20" x14ac:dyDescent="0.25">
      <c r="D30" s="12">
        <v>94</v>
      </c>
      <c r="E30" s="13">
        <v>125.96</v>
      </c>
      <c r="F30" s="14">
        <f t="shared" si="2"/>
        <v>2323.2820000000002</v>
      </c>
      <c r="G30" s="14">
        <f t="shared" si="1"/>
        <v>2298.5326</v>
      </c>
      <c r="H30" s="14">
        <f t="shared" si="1"/>
        <v>2273.7831999999999</v>
      </c>
      <c r="I30" s="14">
        <f t="shared" si="1"/>
        <v>2249.0338000000002</v>
      </c>
      <c r="J30" s="14">
        <f t="shared" si="1"/>
        <v>2224.2844</v>
      </c>
      <c r="K30" s="14">
        <f t="shared" si="1"/>
        <v>2199.5349999999999</v>
      </c>
      <c r="L30" s="14">
        <f t="shared" si="1"/>
        <v>2174.7856000000002</v>
      </c>
      <c r="M30" s="14">
        <f t="shared" si="1"/>
        <v>2150.0362</v>
      </c>
      <c r="N30" s="14">
        <f t="shared" si="1"/>
        <v>2125.2867999999999</v>
      </c>
      <c r="O30" s="14">
        <f t="shared" si="1"/>
        <v>2100.5374000000002</v>
      </c>
      <c r="P30" s="14">
        <f t="shared" si="1"/>
        <v>2075.788</v>
      </c>
      <c r="Q30" s="14">
        <f t="shared" si="1"/>
        <v>2051.0385999999999</v>
      </c>
      <c r="R30" s="14">
        <f t="shared" si="1"/>
        <v>2026.2891999999999</v>
      </c>
      <c r="S30" s="14">
        <f t="shared" si="1"/>
        <v>2001.5398</v>
      </c>
      <c r="T30" s="14">
        <f t="shared" si="1"/>
        <v>1976.7903999999999</v>
      </c>
    </row>
    <row r="31" spans="4:20" x14ac:dyDescent="0.25">
      <c r="D31" s="12">
        <v>95</v>
      </c>
      <c r="E31" s="13">
        <v>127.3</v>
      </c>
      <c r="F31" s="14">
        <f t="shared" si="2"/>
        <v>2356.38</v>
      </c>
      <c r="G31" s="14">
        <f t="shared" si="1"/>
        <v>2331.6306000000004</v>
      </c>
      <c r="H31" s="14">
        <f t="shared" si="1"/>
        <v>2306.8811999999998</v>
      </c>
      <c r="I31" s="14">
        <f t="shared" si="1"/>
        <v>2282.1318000000001</v>
      </c>
      <c r="J31" s="14">
        <f t="shared" si="1"/>
        <v>2257.3824</v>
      </c>
      <c r="K31" s="14">
        <f t="shared" si="1"/>
        <v>2232.6329999999998</v>
      </c>
      <c r="L31" s="14">
        <f t="shared" si="1"/>
        <v>2207.8836000000001</v>
      </c>
      <c r="M31" s="14">
        <f t="shared" si="1"/>
        <v>2183.1342</v>
      </c>
      <c r="N31" s="14">
        <f t="shared" si="1"/>
        <v>2158.3847999999998</v>
      </c>
      <c r="O31" s="14">
        <f t="shared" si="1"/>
        <v>2133.6354000000001</v>
      </c>
      <c r="P31" s="14">
        <f t="shared" si="1"/>
        <v>2108.886</v>
      </c>
      <c r="Q31" s="14">
        <f t="shared" si="1"/>
        <v>2084.1365999999998</v>
      </c>
      <c r="R31" s="14">
        <f t="shared" si="1"/>
        <v>2059.3872000000001</v>
      </c>
      <c r="S31" s="14">
        <f t="shared" si="1"/>
        <v>2034.6378000000002</v>
      </c>
      <c r="T31" s="14">
        <f t="shared" si="1"/>
        <v>2009.8884</v>
      </c>
    </row>
    <row r="32" spans="4:20" x14ac:dyDescent="0.25">
      <c r="D32" s="12">
        <v>96</v>
      </c>
      <c r="E32" s="13">
        <v>128.63999999999999</v>
      </c>
      <c r="F32" s="14">
        <f t="shared" si="2"/>
        <v>2389.4779999999996</v>
      </c>
      <c r="G32" s="14">
        <f t="shared" si="1"/>
        <v>2364.7285999999995</v>
      </c>
      <c r="H32" s="14">
        <f t="shared" si="1"/>
        <v>2339.9791999999993</v>
      </c>
      <c r="I32" s="14">
        <f t="shared" si="1"/>
        <v>2315.2297999999996</v>
      </c>
      <c r="J32" s="14">
        <f t="shared" si="1"/>
        <v>2290.4803999999995</v>
      </c>
      <c r="K32" s="14">
        <f t="shared" si="1"/>
        <v>2265.7309999999993</v>
      </c>
      <c r="L32" s="14">
        <f t="shared" si="1"/>
        <v>2240.9815999999996</v>
      </c>
      <c r="M32" s="14">
        <f t="shared" si="1"/>
        <v>2216.2321999999995</v>
      </c>
      <c r="N32" s="14">
        <f t="shared" si="1"/>
        <v>2191.4827999999993</v>
      </c>
      <c r="O32" s="14">
        <f t="shared" si="1"/>
        <v>2166.7333999999996</v>
      </c>
      <c r="P32" s="14">
        <f t="shared" si="1"/>
        <v>2141.9839999999995</v>
      </c>
      <c r="Q32" s="14">
        <f t="shared" si="1"/>
        <v>2117.2345999999993</v>
      </c>
      <c r="R32" s="14">
        <f t="shared" si="1"/>
        <v>2092.4851999999996</v>
      </c>
      <c r="S32" s="14">
        <f t="shared" si="1"/>
        <v>2067.7357999999995</v>
      </c>
      <c r="T32" s="14">
        <f t="shared" si="1"/>
        <v>2042.9863999999993</v>
      </c>
    </row>
    <row r="33" spans="4:20" x14ac:dyDescent="0.25">
      <c r="D33" s="12">
        <v>97</v>
      </c>
      <c r="E33" s="13">
        <v>129.97999999999999</v>
      </c>
      <c r="F33" s="14">
        <f t="shared" si="2"/>
        <v>2422.5759999999996</v>
      </c>
      <c r="G33" s="14">
        <f t="shared" si="1"/>
        <v>2397.8265999999999</v>
      </c>
      <c r="H33" s="14">
        <f t="shared" si="1"/>
        <v>2373.0771999999993</v>
      </c>
      <c r="I33" s="14">
        <f t="shared" si="1"/>
        <v>2348.3277999999996</v>
      </c>
      <c r="J33" s="14">
        <f t="shared" si="1"/>
        <v>2323.5783999999999</v>
      </c>
      <c r="K33" s="14">
        <f t="shared" si="1"/>
        <v>2298.8289999999993</v>
      </c>
      <c r="L33" s="14">
        <f t="shared" si="1"/>
        <v>2274.0795999999996</v>
      </c>
      <c r="M33" s="14">
        <f t="shared" si="1"/>
        <v>2249.3301999999994</v>
      </c>
      <c r="N33" s="14">
        <f t="shared" si="1"/>
        <v>2224.5807999999993</v>
      </c>
      <c r="O33" s="14">
        <f t="shared" si="1"/>
        <v>2199.8313999999996</v>
      </c>
      <c r="P33" s="14">
        <f t="shared" si="1"/>
        <v>2175.0819999999994</v>
      </c>
      <c r="Q33" s="14">
        <f t="shared" si="1"/>
        <v>2150.3325999999993</v>
      </c>
      <c r="R33" s="14">
        <f t="shared" si="1"/>
        <v>2125.5831999999996</v>
      </c>
      <c r="S33" s="14">
        <f t="shared" si="1"/>
        <v>2100.8337999999994</v>
      </c>
      <c r="T33" s="14">
        <f t="shared" si="1"/>
        <v>2076.0843999999993</v>
      </c>
    </row>
    <row r="34" spans="4:20" x14ac:dyDescent="0.25">
      <c r="D34" s="12">
        <v>98</v>
      </c>
      <c r="E34" s="13">
        <v>131.32</v>
      </c>
      <c r="F34" s="14">
        <f t="shared" si="2"/>
        <v>2455.6739999999995</v>
      </c>
      <c r="G34" s="14">
        <f t="shared" si="1"/>
        <v>2430.9245999999998</v>
      </c>
      <c r="H34" s="14">
        <f t="shared" si="1"/>
        <v>2406.1751999999997</v>
      </c>
      <c r="I34" s="14">
        <f t="shared" si="1"/>
        <v>2381.4257999999995</v>
      </c>
      <c r="J34" s="14">
        <f t="shared" si="1"/>
        <v>2356.6763999999998</v>
      </c>
      <c r="K34" s="14">
        <f t="shared" si="1"/>
        <v>2331.9269999999997</v>
      </c>
      <c r="L34" s="14">
        <f t="shared" si="1"/>
        <v>2307.1775999999995</v>
      </c>
      <c r="M34" s="14">
        <f t="shared" si="1"/>
        <v>2282.4281999999998</v>
      </c>
      <c r="N34" s="14">
        <f t="shared" si="1"/>
        <v>2257.6787999999997</v>
      </c>
      <c r="O34" s="14">
        <f t="shared" si="1"/>
        <v>2232.9293999999995</v>
      </c>
      <c r="P34" s="14">
        <f t="shared" si="1"/>
        <v>2208.1799999999998</v>
      </c>
      <c r="Q34" s="14">
        <f t="shared" si="1"/>
        <v>2183.4305999999997</v>
      </c>
      <c r="R34" s="14">
        <f t="shared" si="1"/>
        <v>2158.6811999999995</v>
      </c>
      <c r="S34" s="14">
        <f t="shared" si="1"/>
        <v>2133.9317999999998</v>
      </c>
      <c r="T34" s="14">
        <f t="shared" si="1"/>
        <v>2109.1823999999997</v>
      </c>
    </row>
    <row r="35" spans="4:20" x14ac:dyDescent="0.25">
      <c r="D35" s="12">
        <v>99</v>
      </c>
      <c r="E35" s="13">
        <v>132.66</v>
      </c>
      <c r="F35" s="14">
        <f t="shared" si="2"/>
        <v>2488.7719999999995</v>
      </c>
      <c r="G35" s="14">
        <f t="shared" si="1"/>
        <v>2464.0225999999998</v>
      </c>
      <c r="H35" s="14">
        <f t="shared" si="1"/>
        <v>2439.2731999999996</v>
      </c>
      <c r="I35" s="14">
        <f t="shared" si="1"/>
        <v>2414.5237999999995</v>
      </c>
      <c r="J35" s="14">
        <f t="shared" si="1"/>
        <v>2389.7743999999998</v>
      </c>
      <c r="K35" s="14">
        <f t="shared" si="1"/>
        <v>2365.0249999999996</v>
      </c>
      <c r="L35" s="14">
        <f t="shared" si="1"/>
        <v>2340.2755999999995</v>
      </c>
      <c r="M35" s="14">
        <f t="shared" si="1"/>
        <v>2315.5261999999998</v>
      </c>
      <c r="N35" s="14">
        <f t="shared" si="1"/>
        <v>2290.7767999999996</v>
      </c>
      <c r="O35" s="14">
        <f t="shared" si="1"/>
        <v>2266.0273999999995</v>
      </c>
      <c r="P35" s="14">
        <f t="shared" si="1"/>
        <v>2241.2779999999998</v>
      </c>
      <c r="Q35" s="14">
        <f t="shared" si="1"/>
        <v>2216.5285999999996</v>
      </c>
      <c r="R35" s="14">
        <f t="shared" si="1"/>
        <v>2191.7791999999995</v>
      </c>
      <c r="S35" s="14">
        <f t="shared" si="1"/>
        <v>2167.0297999999998</v>
      </c>
      <c r="T35" s="14">
        <f t="shared" si="1"/>
        <v>2142.2803999999996</v>
      </c>
    </row>
    <row r="36" spans="4:20" x14ac:dyDescent="0.25">
      <c r="D36" s="12">
        <v>100</v>
      </c>
      <c r="E36" s="13">
        <v>134</v>
      </c>
      <c r="F36" s="14">
        <f t="shared" si="2"/>
        <v>2521.87</v>
      </c>
      <c r="G36" s="14">
        <f t="shared" si="1"/>
        <v>2497.1205999999997</v>
      </c>
      <c r="H36" s="14">
        <f t="shared" si="1"/>
        <v>2472.3711999999996</v>
      </c>
      <c r="I36" s="14">
        <f t="shared" si="1"/>
        <v>2447.6217999999999</v>
      </c>
      <c r="J36" s="14">
        <f t="shared" si="1"/>
        <v>2422.8723999999997</v>
      </c>
      <c r="K36" s="14">
        <f t="shared" si="1"/>
        <v>2398.1229999999996</v>
      </c>
      <c r="L36" s="14">
        <f t="shared" si="1"/>
        <v>2373.3735999999999</v>
      </c>
      <c r="M36" s="14">
        <f t="shared" si="1"/>
        <v>2348.6241999999997</v>
      </c>
      <c r="N36" s="14">
        <f t="shared" si="1"/>
        <v>2323.8747999999996</v>
      </c>
      <c r="O36" s="14">
        <f t="shared" si="1"/>
        <v>2299.1253999999999</v>
      </c>
      <c r="P36" s="14">
        <f t="shared" si="1"/>
        <v>2274.3759999999997</v>
      </c>
      <c r="Q36" s="14">
        <f t="shared" si="1"/>
        <v>2249.6265999999996</v>
      </c>
      <c r="R36" s="14">
        <f t="shared" si="1"/>
        <v>2224.8771999999999</v>
      </c>
      <c r="S36" s="14">
        <f t="shared" si="1"/>
        <v>2200.1277999999998</v>
      </c>
      <c r="T36" s="14">
        <f t="shared" si="1"/>
        <v>2175.3783999999996</v>
      </c>
    </row>
    <row r="37" spans="4:20" x14ac:dyDescent="0.25">
      <c r="F37" s="11"/>
    </row>
  </sheetData>
  <sheetProtection sheet="1" objects="1" scenarios="1" selectLockedCells="1"/>
  <mergeCells count="8">
    <mergeCell ref="F9:T9"/>
    <mergeCell ref="F8:T8"/>
    <mergeCell ref="K4:L4"/>
    <mergeCell ref="G6:H6"/>
    <mergeCell ref="G3:H3"/>
    <mergeCell ref="G4:H4"/>
    <mergeCell ref="G5:H5"/>
    <mergeCell ref="N4:O4"/>
  </mergeCells>
  <conditionalFormatting sqref="F11:T36">
    <cfRule type="cellIs" dxfId="2" priority="1" operator="equal">
      <formula>$L$5</formula>
    </cfRule>
    <cfRule type="cellIs" dxfId="1" priority="2" operator="lessThan">
      <formula>$L$5</formula>
    </cfRule>
    <cfRule type="cellIs" dxfId="0" priority="3" operator="greaterThanOrEqual">
      <formula>$L$5</formula>
    </cfRule>
    <cfRule type="expression" priority="4">
      <formula>$L$5</formula>
    </cfRule>
  </conditionalFormatting>
  <dataValidations count="6">
    <dataValidation type="decimal" allowBlank="1" showInputMessage="1" showErrorMessage="1" errorTitle="Slaktvikt" error="Välj en vikt från 75 kg till 100 kg." promptTitle="Slaktvikt" prompt="75 kg till 100 kg." sqref="M4" xr:uid="{5551340A-E8AE-480A-8378-5EC982C71AAE}">
      <formula1>75</formula1>
      <formula2>100</formula2>
    </dataValidation>
    <dataValidation type="decimal" allowBlank="1" showInputMessage="1" showErrorMessage="1" errorTitle="Insättningsvikt " error="Välj ett värde från 25 kg till 50 kg." promptTitle="Insättningsvikt " prompt="25 kg till 50 kg." sqref="I3" xr:uid="{6EA823EE-F696-4094-974F-7FCB3D1C7A2C}">
      <formula1>25</formula1>
      <formula2>50</formula2>
    </dataValidation>
    <dataValidation type="decimal" allowBlank="1" showInputMessage="1" showErrorMessage="1" promptTitle="Tillväxt kg / dygn" prompt="0,75 kg till 1,5 kg." sqref="I4" xr:uid="{06AE9205-3144-4251-AE4C-4A1BFFEEF935}">
      <formula1>0.75</formula1>
      <formula2>1.5</formula2>
    </dataValidation>
    <dataValidation type="decimal" allowBlank="1" showInputMessage="1" showErrorMessage="1" promptTitle="MJ NE / kg tillv" prompt="20 MJ NE till 30 MJ NE." sqref="I5" xr:uid="{264DAD1B-CF1A-4C56-9968-3B54F41BC39F}">
      <formula1>20</formula1>
      <formula2>30</formula2>
    </dataValidation>
    <dataValidation type="whole" allowBlank="1" showInputMessage="1" showErrorMessage="1" errorTitle="Antal i boxen" error="Välj 1 till 20 grisar." promptTitle="Antal i boxen" prompt="1 till 20 grisar." sqref="I6" xr:uid="{455D341D-5E7E-4955-ACF0-E043D1408E9D}">
      <formula1>1</formula1>
      <formula2>20</formula2>
    </dataValidation>
    <dataValidation type="whole" allowBlank="1" showInputMessage="1" showErrorMessage="1" errorTitle="Om antal dagar" error="Välj 0 till 14 dagar." promptTitle="Om antal dagar" prompt="0 dagar till 14 dagar." sqref="P4" xr:uid="{8C20EEFC-C67E-4B21-AAA9-80F64FE0C661}">
      <formula1>0</formula1>
      <formula2>14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Barbro</dc:creator>
  <cp:lastModifiedBy>Wilhelmina Ehrenkrona</cp:lastModifiedBy>
  <cp:lastPrinted>2013-07-03T14:48:48Z</cp:lastPrinted>
  <dcterms:created xsi:type="dcterms:W3CDTF">2013-04-02T13:52:55Z</dcterms:created>
  <dcterms:modified xsi:type="dcterms:W3CDTF">2024-06-03T13:05:53Z</dcterms:modified>
</cp:coreProperties>
</file>