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2" documentId="8_{B31044FB-3A66-4AF0-AAAB-C07D3FD4A210}" xr6:coauthVersionLast="47" xr6:coauthVersionMax="47" xr10:uidLastSave="{BE067E09-1040-45A7-B21A-69FD8CDAD5E3}"/>
  <bookViews>
    <workbookView xWindow="-108" yWindow="-108" windowWidth="23256" windowHeight="12456" xr2:uid="{AF2D8725-A6D3-4C0A-A8A6-0B23362E00E0}"/>
  </bookViews>
  <sheets>
    <sheet name="Köttrasst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" i="1" l="1"/>
  <c r="A71" i="1"/>
  <c r="A70" i="1"/>
  <c r="A69" i="1"/>
  <c r="A68" i="1"/>
  <c r="A67" i="1"/>
  <c r="A66" i="1"/>
  <c r="A65" i="1"/>
  <c r="F57" i="1"/>
  <c r="G57" i="1" s="1"/>
  <c r="G56" i="1"/>
  <c r="F56" i="1"/>
  <c r="F55" i="1"/>
  <c r="G55" i="1" s="1"/>
  <c r="F54" i="1"/>
  <c r="F58" i="1" s="1"/>
  <c r="E54" i="1"/>
  <c r="G44" i="1"/>
  <c r="F44" i="1"/>
  <c r="F42" i="1"/>
  <c r="G42" i="1" s="1"/>
  <c r="G34" i="1"/>
  <c r="F34" i="1"/>
  <c r="F33" i="1"/>
  <c r="C69" i="1" s="1"/>
  <c r="G28" i="1"/>
  <c r="F28" i="1"/>
  <c r="F27" i="1"/>
  <c r="G27" i="1" s="1"/>
  <c r="F26" i="1"/>
  <c r="G26" i="1" s="1"/>
  <c r="F25" i="1"/>
  <c r="G25" i="1" s="1"/>
  <c r="G24" i="1"/>
  <c r="F24" i="1"/>
  <c r="F23" i="1"/>
  <c r="F21" i="1"/>
  <c r="G21" i="1" s="1"/>
  <c r="G20" i="1"/>
  <c r="F20" i="1"/>
  <c r="E14" i="1"/>
  <c r="D14" i="1"/>
  <c r="F14" i="1" s="1"/>
  <c r="G14" i="1" s="1"/>
  <c r="D12" i="1"/>
  <c r="D13" i="1" s="1"/>
  <c r="F13" i="1" s="1"/>
  <c r="G13" i="1" s="1"/>
  <c r="C8" i="1"/>
  <c r="F43" i="1" s="1"/>
  <c r="G43" i="1" l="1"/>
  <c r="D71" i="1" s="1"/>
  <c r="C71" i="1"/>
  <c r="D30" i="1"/>
  <c r="F30" i="1" s="1"/>
  <c r="G30" i="1" s="1"/>
  <c r="C47" i="1"/>
  <c r="C46" i="1" s="1"/>
  <c r="G23" i="1"/>
  <c r="G33" i="1"/>
  <c r="D69" i="1" s="1"/>
  <c r="F45" i="1"/>
  <c r="G54" i="1"/>
  <c r="G58" i="1" s="1"/>
  <c r="C66" i="1"/>
  <c r="D31" i="1"/>
  <c r="F31" i="1" s="1"/>
  <c r="D29" i="1"/>
  <c r="F29" i="1" s="1"/>
  <c r="G29" i="1" s="1"/>
  <c r="D35" i="1"/>
  <c r="F35" i="1" s="1"/>
  <c r="F12" i="1"/>
  <c r="D15" i="1"/>
  <c r="F15" i="1" s="1"/>
  <c r="G15" i="1" s="1"/>
  <c r="F32" i="1"/>
  <c r="G32" i="1" l="1"/>
  <c r="D68" i="1" s="1"/>
  <c r="C68" i="1"/>
  <c r="G45" i="1"/>
  <c r="G12" i="1"/>
  <c r="F16" i="1"/>
  <c r="D46" i="1"/>
  <c r="F46" i="1" s="1"/>
  <c r="C70" i="1"/>
  <c r="G35" i="1"/>
  <c r="D70" i="1" s="1"/>
  <c r="D66" i="1"/>
  <c r="G31" i="1"/>
  <c r="D67" i="1" s="1"/>
  <c r="C67" i="1"/>
  <c r="F5" i="1"/>
  <c r="E22" i="1" s="1"/>
  <c r="F22" i="1" s="1"/>
  <c r="G46" i="1" l="1"/>
  <c r="G16" i="1"/>
  <c r="D47" i="1"/>
  <c r="F47" i="1" s="1"/>
  <c r="G47" i="1" s="1"/>
  <c r="D72" i="1" s="1"/>
  <c r="G22" i="1"/>
  <c r="D65" i="1" s="1"/>
  <c r="C65" i="1"/>
  <c r="F36" i="1"/>
  <c r="G36" i="1" s="1"/>
  <c r="D73" i="1" l="1"/>
  <c r="F38" i="1"/>
  <c r="C72" i="1"/>
  <c r="C73" i="1" s="1"/>
  <c r="F48" i="1"/>
  <c r="G48" i="1" s="1"/>
  <c r="F50" i="1" l="1"/>
  <c r="G38" i="1"/>
  <c r="F60" i="1" l="1"/>
  <c r="G60" i="1" s="1"/>
  <c r="G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tc={877B2D27-EAE6-40C8-9A9D-D40DC8F89CE8}</author>
    <author>tc={C47EBA5C-6362-4BF7-A35B-C282146BB700}</author>
    <author>tc={BF5E521B-D12E-4B74-9BF9-E5A2F0276970}</author>
    <author>tc={E7569C75-2B5D-4A0C-A861-019D8A0E351F}</author>
  </authors>
  <commentList>
    <comment ref="E54" authorId="0" shapeId="0" xr:uid="{877B2D27-EAE6-40C8-9A9D-D40DC8F89CE8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55" authorId="1" shapeId="0" xr:uid="{C47EBA5C-6362-4BF7-A35B-C282146BB700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6" authorId="2" shapeId="0" xr:uid="{BF5E521B-D12E-4B74-9BF9-E5A2F0276970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7" authorId="3" shapeId="0" xr:uid="{E7569C75-2B5D-4A0C-A861-019D8A0E351F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<sst xmlns="http://schemas.openxmlformats.org/spreadsheetml/2006/main" count="105" uniqueCount="71">
  <si>
    <t>PRODUKTIONSGRENSKALKYL - Köttrasstut</t>
  </si>
  <si>
    <t>Euro-kurs</t>
  </si>
  <si>
    <t>Dödlighet</t>
  </si>
  <si>
    <t>Insättningsålder</t>
  </si>
  <si>
    <t>mån</t>
  </si>
  <si>
    <t>Slaktålder</t>
  </si>
  <si>
    <t>Uppfödningstid</t>
  </si>
  <si>
    <t>Slaktvikt</t>
  </si>
  <si>
    <t>kg</t>
  </si>
  <si>
    <t>Enhet</t>
  </si>
  <si>
    <t>Kvant.</t>
  </si>
  <si>
    <t>Pris</t>
  </si>
  <si>
    <t>Värde</t>
  </si>
  <si>
    <t xml:space="preserve">Kr/ kg </t>
  </si>
  <si>
    <t>Intäkter:</t>
  </si>
  <si>
    <t xml:space="preserve">Kött </t>
  </si>
  <si>
    <t>Tillägg (eko/naturbeteskött)</t>
  </si>
  <si>
    <t>Stöd</t>
  </si>
  <si>
    <t>Nötkreaturstöd</t>
  </si>
  <si>
    <t>Ekologiskt stöd</t>
  </si>
  <si>
    <t>Summa intäkter</t>
  </si>
  <si>
    <t>Särkostnader 1:</t>
  </si>
  <si>
    <t>Inköp djur</t>
  </si>
  <si>
    <t>Inköp kalv</t>
  </si>
  <si>
    <t>Förmedlingsavgift</t>
  </si>
  <si>
    <t>st</t>
  </si>
  <si>
    <t>Kostnad dödlighet (50% av uppf kostn)</t>
  </si>
  <si>
    <t>Foder</t>
  </si>
  <si>
    <t>Grovfoder 1</t>
  </si>
  <si>
    <t>kg ts</t>
  </si>
  <si>
    <t>Grovfoder 2</t>
  </si>
  <si>
    <t>Bete</t>
  </si>
  <si>
    <t>Spannmål</t>
  </si>
  <si>
    <t>Färdigfoder</t>
  </si>
  <si>
    <t>Proteinfodermedel</t>
  </si>
  <si>
    <t xml:space="preserve">kg </t>
  </si>
  <si>
    <t>Mineraler</t>
  </si>
  <si>
    <t>Salt</t>
  </si>
  <si>
    <t>Foderberedning</t>
  </si>
  <si>
    <t>h</t>
  </si>
  <si>
    <t>Strö</t>
  </si>
  <si>
    <t>Diverse</t>
  </si>
  <si>
    <t>Försäkring</t>
  </si>
  <si>
    <t>Veterinär, medicin, vaccination</t>
  </si>
  <si>
    <t>Arbete</t>
  </si>
  <si>
    <t>Summa särkostnader 1</t>
  </si>
  <si>
    <t>Täckningsbidrag 1</t>
  </si>
  <si>
    <t>Särkostnader 2:</t>
  </si>
  <si>
    <t>Certifieringskostnad</t>
  </si>
  <si>
    <t>Byggnader</t>
  </si>
  <si>
    <t>Avskrivning byggnad &amp; byggnadsinventarier</t>
  </si>
  <si>
    <t>år</t>
  </si>
  <si>
    <t>Underhåll byggnader</t>
  </si>
  <si>
    <t>Ränta</t>
  </si>
  <si>
    <t>Ränta Byggnader</t>
  </si>
  <si>
    <t>Ränta rörelsekapital</t>
  </si>
  <si>
    <t>Ränta djurkapital</t>
  </si>
  <si>
    <t>Summa särkostnader 2</t>
  </si>
  <si>
    <t>Täckningsbidrag 2</t>
  </si>
  <si>
    <t>Gårdsstöd, kompensationsstöd &amp; miljöersättningar</t>
  </si>
  <si>
    <t>Gårdsstöd</t>
  </si>
  <si>
    <t>hektar</t>
  </si>
  <si>
    <t>Kompensationsstöd</t>
  </si>
  <si>
    <t>Miljöers. bete m allmänna värden</t>
  </si>
  <si>
    <t>Miljöers. bete m särskilda värden</t>
  </si>
  <si>
    <t>Summa stöd</t>
  </si>
  <si>
    <t>Täckningsbidrag 2 inkl.stöd</t>
  </si>
  <si>
    <t>Köttrasstut</t>
  </si>
  <si>
    <t>Värde, kr</t>
  </si>
  <si>
    <t>Kr/kg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</si>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</sst>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kr&quot;;\-#,##0\ &quot;kr&quot;"/>
    <numFmt numFmtId="7" formatCode="#,##0.00\ &quot;kr&quot;;\-#,##0.00\ &quot;kr&quot;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#,##0_ ;\-#,##0\ 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rgb="FF4D5156"/>
      <name val="Calibri"/>
      <family val="2"/>
    </font>
    <font>
      <i/>
      <sz val="11"/>
      <name val="Antique Olive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2" fontId="6" fillId="0" borderId="1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4" fontId="4" fillId="0" borderId="0" xfId="0" applyNumberFormat="1" applyFont="1"/>
    <xf numFmtId="1" fontId="8" fillId="0" borderId="2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" fontId="6" fillId="3" borderId="1" xfId="2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5" fillId="0" borderId="3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0" fontId="5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164" fontId="6" fillId="4" borderId="0" xfId="2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 applyProtection="1">
      <alignment horizontal="center"/>
      <protection locked="0"/>
    </xf>
    <xf numFmtId="2" fontId="6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5" borderId="3" xfId="2" applyNumberFormat="1" applyFont="1" applyFill="1" applyBorder="1" applyAlignment="1" applyProtection="1">
      <alignment horizontal="right"/>
    </xf>
    <xf numFmtId="44" fontId="5" fillId="5" borderId="3" xfId="2" applyFont="1" applyFill="1" applyBorder="1" applyAlignment="1" applyProtection="1">
      <alignment horizontal="right"/>
    </xf>
    <xf numFmtId="0" fontId="11" fillId="0" borderId="0" xfId="0" applyFont="1"/>
    <xf numFmtId="164" fontId="1" fillId="0" borderId="0" xfId="2" applyNumberFormat="1" applyFont="1" applyBorder="1" applyAlignment="1" applyProtection="1">
      <alignment horizontal="right"/>
    </xf>
    <xf numFmtId="44" fontId="6" fillId="0" borderId="0" xfId="0" applyNumberFormat="1" applyFont="1" applyAlignment="1" applyProtection="1">
      <alignment horizontal="center"/>
      <protection locked="0"/>
    </xf>
    <xf numFmtId="44" fontId="6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/>
    <xf numFmtId="44" fontId="5" fillId="0" borderId="9" xfId="0" applyNumberFormat="1" applyFont="1" applyBorder="1" applyAlignment="1">
      <alignment horizontal="right"/>
    </xf>
    <xf numFmtId="0" fontId="6" fillId="0" borderId="0" xfId="0" applyFont="1" applyProtection="1">
      <protection locked="0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Alignment="1" applyProtection="1">
      <alignment horizontal="center"/>
      <protection locked="0"/>
    </xf>
    <xf numFmtId="164" fontId="6" fillId="6" borderId="0" xfId="2" applyNumberFormat="1" applyFont="1" applyFill="1" applyBorder="1" applyAlignment="1" applyProtection="1">
      <alignment horizontal="right"/>
    </xf>
    <xf numFmtId="44" fontId="6" fillId="6" borderId="0" xfId="2" applyFont="1" applyFill="1" applyBorder="1" applyAlignment="1" applyProtection="1">
      <alignment horizontal="right"/>
    </xf>
    <xf numFmtId="9" fontId="6" fillId="0" borderId="10" xfId="3" applyFont="1" applyBorder="1" applyAlignment="1" applyProtection="1">
      <alignment horizontal="center"/>
      <protection locked="0"/>
    </xf>
    <xf numFmtId="3" fontId="6" fillId="3" borderId="1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/>
    <xf numFmtId="4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1" fontId="6" fillId="0" borderId="10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165" fontId="6" fillId="3" borderId="10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13" fillId="0" borderId="0" xfId="0" applyFont="1"/>
    <xf numFmtId="0" fontId="4" fillId="0" borderId="7" xfId="0" applyFont="1" applyBorder="1"/>
    <xf numFmtId="4" fontId="6" fillId="3" borderId="6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164" fontId="6" fillId="7" borderId="3" xfId="2" applyNumberFormat="1" applyFont="1" applyFill="1" applyBorder="1" applyAlignment="1" applyProtection="1">
      <alignment horizontal="right"/>
    </xf>
    <xf numFmtId="44" fontId="6" fillId="7" borderId="3" xfId="2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5" fillId="0" borderId="11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5" fontId="5" fillId="3" borderId="4" xfId="2" applyNumberFormat="1" applyFont="1" applyFill="1" applyBorder="1" applyAlignment="1" applyProtection="1">
      <alignment horizontal="right"/>
    </xf>
    <xf numFmtId="7" fontId="5" fillId="3" borderId="4" xfId="2" applyNumberFormat="1" applyFont="1" applyFill="1" applyBorder="1" applyAlignment="1" applyProtection="1">
      <alignment horizontal="right"/>
    </xf>
    <xf numFmtId="164" fontId="10" fillId="0" borderId="0" xfId="2" applyNumberFormat="1" applyFont="1" applyFill="1" applyBorder="1" applyAlignment="1" applyProtection="1">
      <alignment horizontal="right"/>
    </xf>
    <xf numFmtId="0" fontId="4" fillId="0" borderId="10" xfId="0" applyFont="1" applyBorder="1" applyAlignment="1">
      <alignment horizontal="center"/>
    </xf>
    <xf numFmtId="0" fontId="4" fillId="8" borderId="10" xfId="0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 applyProtection="1">
      <alignment horizontal="right"/>
    </xf>
    <xf numFmtId="44" fontId="6" fillId="0" borderId="10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164" fontId="6" fillId="9" borderId="0" xfId="2" applyNumberFormat="1" applyFont="1" applyFill="1" applyBorder="1" applyAlignment="1" applyProtection="1">
      <alignment horizontal="right"/>
    </xf>
    <xf numFmtId="44" fontId="6" fillId="9" borderId="0" xfId="2" applyFont="1" applyFill="1" applyBorder="1" applyAlignment="1" applyProtection="1">
      <alignment horizontal="right"/>
    </xf>
    <xf numFmtId="9" fontId="6" fillId="0" borderId="10" xfId="0" applyNumberFormat="1" applyFont="1" applyBorder="1" applyAlignment="1" applyProtection="1">
      <alignment horizontal="center"/>
      <protection locked="0"/>
    </xf>
    <xf numFmtId="164" fontId="6" fillId="3" borderId="10" xfId="0" applyNumberFormat="1" applyFont="1" applyFill="1" applyBorder="1" applyAlignment="1">
      <alignment horizontal="center"/>
    </xf>
    <xf numFmtId="9" fontId="6" fillId="0" borderId="10" xfId="3" applyFont="1" applyFill="1" applyBorder="1" applyAlignment="1" applyProtection="1">
      <alignment horizontal="center"/>
      <protection locked="0"/>
    </xf>
    <xf numFmtId="165" fontId="6" fillId="3" borderId="2" xfId="0" applyNumberFormat="1" applyFont="1" applyFill="1" applyBorder="1" applyAlignment="1">
      <alignment horizontal="center"/>
    </xf>
    <xf numFmtId="3" fontId="6" fillId="0" borderId="4" xfId="0" applyNumberFormat="1" applyFont="1" applyBorder="1" applyAlignment="1" applyProtection="1">
      <alignment horizontal="center"/>
      <protection locked="0"/>
    </xf>
    <xf numFmtId="164" fontId="6" fillId="10" borderId="3" xfId="2" applyNumberFormat="1" applyFont="1" applyFill="1" applyBorder="1" applyAlignment="1" applyProtection="1">
      <alignment horizontal="right"/>
    </xf>
    <xf numFmtId="44" fontId="6" fillId="10" borderId="3" xfId="2" applyFont="1" applyFill="1" applyBorder="1" applyAlignment="1" applyProtection="1">
      <alignment horizontal="right"/>
    </xf>
    <xf numFmtId="0" fontId="5" fillId="0" borderId="12" xfId="0" applyFont="1" applyBorder="1"/>
    <xf numFmtId="0" fontId="6" fillId="0" borderId="0" xfId="0" applyFont="1" applyAlignment="1">
      <alignment horizontal="center"/>
    </xf>
    <xf numFmtId="166" fontId="6" fillId="3" borderId="10" xfId="1" applyNumberFormat="1" applyFont="1" applyFill="1" applyBorder="1" applyAlignment="1">
      <alignment horizontal="center"/>
    </xf>
    <xf numFmtId="164" fontId="6" fillId="11" borderId="0" xfId="2" applyNumberFormat="1" applyFont="1" applyFill="1" applyBorder="1" applyAlignment="1" applyProtection="1">
      <alignment horizontal="right"/>
    </xf>
    <xf numFmtId="166" fontId="6" fillId="0" borderId="10" xfId="1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166" fontId="6" fillId="0" borderId="10" xfId="1" applyNumberFormat="1" applyFont="1" applyBorder="1" applyAlignment="1">
      <alignment horizontal="center"/>
    </xf>
    <xf numFmtId="164" fontId="5" fillId="12" borderId="3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164" fontId="5" fillId="3" borderId="4" xfId="2" applyNumberFormat="1" applyFont="1" applyFill="1" applyBorder="1" applyAlignment="1" applyProtection="1">
      <alignment horizontal="right"/>
    </xf>
    <xf numFmtId="0" fontId="13" fillId="0" borderId="7" xfId="0" applyFont="1" applyBorder="1"/>
    <xf numFmtId="0" fontId="5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164" fontId="14" fillId="0" borderId="0" xfId="0" applyNumberFormat="1" applyFont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wrapText="1"/>
    </xf>
    <xf numFmtId="1" fontId="6" fillId="0" borderId="10" xfId="0" applyNumberFormat="1" applyFont="1" applyFill="1" applyBorder="1" applyAlignment="1">
      <alignment horizontal="center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Köttrasstut - andel</a:t>
            </a:r>
            <a:r>
              <a:rPr lang="sv-SE" baseline="0">
                <a:solidFill>
                  <a:sysClr val="windowText" lastClr="000000"/>
                </a:solidFill>
              </a:rPr>
              <a:t> av kostnad</a:t>
            </a:r>
            <a:endParaRPr lang="sv-S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2A229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65-4024-A13E-B5AD94F0C6C3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65-4024-A13E-B5AD94F0C6C3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65-4024-A13E-B5AD94F0C6C3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65-4024-A13E-B5AD94F0C6C3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365-4024-A13E-B5AD94F0C6C3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365-4024-A13E-B5AD94F0C6C3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365-4024-A13E-B5AD94F0C6C3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365-4024-A13E-B5AD94F0C6C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Köttrasstut!$A$65:$A$72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Köttrasstut!$C$65:$C$72</c:f>
              <c:numCache>
                <c:formatCode>_-* #\ ##0\ "kr"_-;\-* #\ ##0\ "kr"_-;_-* "-"??\ "kr"_-;_-@_-</c:formatCode>
                <c:ptCount val="8"/>
                <c:pt idx="0">
                  <c:v>10174.59664</c:v>
                </c:pt>
                <c:pt idx="1">
                  <c:v>6198.1279999999997</c:v>
                </c:pt>
                <c:pt idx="2">
                  <c:v>1422.7199999999998</c:v>
                </c:pt>
                <c:pt idx="3">
                  <c:v>2280</c:v>
                </c:pt>
                <c:pt idx="4">
                  <c:v>268</c:v>
                </c:pt>
                <c:pt idx="5">
                  <c:v>902.88</c:v>
                </c:pt>
                <c:pt idx="6">
                  <c:v>2225</c:v>
                </c:pt>
                <c:pt idx="7">
                  <c:v>2788.9017335999997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365-4024-A13E-B5AD94F0C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Köttrasstut - kostnad per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F5-4A8C-9935-8432C88F1AC0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F5-4A8C-9935-8432C88F1AC0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F5-4A8C-9935-8432C88F1AC0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F5-4A8C-9935-8432C88F1AC0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F5-4A8C-9935-8432C88F1AC0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F5-4A8C-9935-8432C88F1AC0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6F5-4A8C-9935-8432C88F1AC0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6F5-4A8C-9935-8432C88F1AC0}"/>
              </c:ext>
            </c:extLst>
          </c:dPt>
          <c:dLbls>
            <c:numFmt formatCode="#,##0.0\ &quot;kr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Köttrasstut!$A$65:$A$72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Köttrasstut!$D$65:$D$72</c:f>
              <c:numCache>
                <c:formatCode>_-* #\ ##0\ "kr"_-;\-* #\ ##0\ "kr"_-;_-* "-"??\ "kr"_-;_-@_-</c:formatCode>
                <c:ptCount val="8"/>
                <c:pt idx="0">
                  <c:v>29.925284235294114</c:v>
                </c:pt>
                <c:pt idx="1">
                  <c:v>18.229788235294116</c:v>
                </c:pt>
                <c:pt idx="2">
                  <c:v>4.1844705882352935</c:v>
                </c:pt>
                <c:pt idx="3">
                  <c:v>6.7058823529411766</c:v>
                </c:pt>
                <c:pt idx="4">
                  <c:v>0.78823529411764715</c:v>
                </c:pt>
                <c:pt idx="5">
                  <c:v>2.6555294117647059</c:v>
                </c:pt>
                <c:pt idx="6">
                  <c:v>6.5441176470588234</c:v>
                </c:pt>
                <c:pt idx="7">
                  <c:v>8.2026521576470586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6F5-4A8C-9935-8432C88F1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0320"/>
        <c:axId val="637676480"/>
      </c:barChart>
      <c:catAx>
        <c:axId val="6376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76480"/>
        <c:crosses val="autoZero"/>
        <c:auto val="1"/>
        <c:lblAlgn val="ctr"/>
        <c:lblOffset val="100"/>
        <c:noMultiLvlLbl val="0"/>
      </c:catAx>
      <c:valAx>
        <c:axId val="6376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Footer>&amp;C&amp;"Myriad Pro,Normal"Gård &amp; Djurhälsan – Växel: 0771-21 65 00 – www.gårdochdjurhälsan.se</c:oddFooter>
    </c:headerFooter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75</xdr:row>
      <xdr:rowOff>0</xdr:rowOff>
    </xdr:from>
    <xdr:to>
      <xdr:col>5</xdr:col>
      <xdr:colOff>777240</xdr:colOff>
      <xdr:row>97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DAA293-9AC0-4056-809D-0B45ADC67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100</xdr:row>
      <xdr:rowOff>0</xdr:rowOff>
    </xdr:from>
    <xdr:to>
      <xdr:col>6</xdr:col>
      <xdr:colOff>483870</xdr:colOff>
      <xdr:row>117</xdr:row>
      <xdr:rowOff>106680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6A96DB-EB9E-436B-BD02-737B93497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B310B659-D5F2-4ED7-BA6A-8DCD89F139A5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4" dT="2023-12-11T09:05:52.33" personId="{B310B659-D5F2-4ED7-BA6A-8DCD89F139A5}" id="{877B2D27-EAE6-40C8-9A9D-D40DC8F89CE8}">
    <text xml:space="preserve">Gårdsstödet är 143,51 euro per hektar för 2023. </text>
  </threadedComment>
  <threadedComment ref="E55" dT="2023-12-11T09:22:52.68" personId="{B310B659-D5F2-4ED7-BA6A-8DCD89F139A5}" id="{C47EBA5C-6362-4BF7-A35B-C282146BB700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6" dT="2023-12-11T09:23:33.74" personId="{B310B659-D5F2-4ED7-BA6A-8DCD89F139A5}" id="{BF5E521B-D12E-4B74-9BF9-E5A2F0276970}">
    <text>Ersättningen är 1 850 kr/ha för 2023</text>
  </threadedComment>
  <threadedComment ref="E57" dT="2023-12-11T09:23:11.28" personId="{B310B659-D5F2-4ED7-BA6A-8DCD89F139A5}" id="{E7569C75-2B5D-4A0C-A861-019D8A0E351F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0A2AA-058C-4CD5-B485-8E98A4C63EE9}">
  <sheetPr>
    <tabColor rgb="FFCF2C35"/>
  </sheetPr>
  <dimension ref="A3:H75"/>
  <sheetViews>
    <sheetView showGridLines="0" tabSelected="1" topLeftCell="A15" zoomScaleNormal="100" workbookViewId="0">
      <selection activeCell="D32" sqref="D32"/>
    </sheetView>
  </sheetViews>
  <sheetFormatPr defaultColWidth="9.109375" defaultRowHeight="13.8"/>
  <cols>
    <col min="1" max="1" width="14" style="5" customWidth="1"/>
    <col min="2" max="2" width="36.21875" style="5" bestFit="1" customWidth="1"/>
    <col min="3" max="3" width="9.77734375" style="75" bestFit="1" customWidth="1"/>
    <col min="4" max="4" width="10.6640625" style="75" customWidth="1"/>
    <col min="5" max="5" width="9.33203125" style="75" customWidth="1"/>
    <col min="6" max="6" width="12.44140625" style="105" customWidth="1"/>
    <col min="7" max="7" width="11" style="11" customWidth="1"/>
    <col min="8" max="8" width="9.88671875" style="5" customWidth="1"/>
    <col min="9" max="9" width="8.44140625" style="5" customWidth="1"/>
    <col min="10" max="16384" width="9.109375" style="5"/>
  </cols>
  <sheetData>
    <row r="3" spans="1:7" s="3" customFormat="1" ht="15.6">
      <c r="A3" s="115" t="s">
        <v>0</v>
      </c>
      <c r="B3" s="115"/>
      <c r="C3" s="115"/>
      <c r="D3" s="115"/>
      <c r="E3" s="115"/>
      <c r="F3" s="115"/>
      <c r="G3" s="2"/>
    </row>
    <row r="4" spans="1:7" s="3" customFormat="1" ht="15.6">
      <c r="A4" s="1"/>
      <c r="C4" s="4"/>
      <c r="G4" s="2"/>
    </row>
    <row r="5" spans="1:7" ht="14.4">
      <c r="B5" s="6" t="s">
        <v>1</v>
      </c>
      <c r="C5" s="7">
        <v>11.532500000000001</v>
      </c>
      <c r="D5" s="8"/>
      <c r="E5" s="9" t="s">
        <v>2</v>
      </c>
      <c r="F5" s="10">
        <f>((F21+F23+F24+F25+F26+F27+F28+F29+F32+F33+F34+F35+F43+F45+F44)/2)+F20</f>
        <v>16229.831999999999</v>
      </c>
    </row>
    <row r="6" spans="1:7" ht="14.4">
      <c r="B6" s="6" t="s">
        <v>3</v>
      </c>
      <c r="C6" s="12">
        <v>7</v>
      </c>
      <c r="D6" s="6" t="s">
        <v>4</v>
      </c>
      <c r="E6" s="9"/>
      <c r="F6" s="10"/>
    </row>
    <row r="7" spans="1:7" ht="14.4">
      <c r="B7" s="6" t="s">
        <v>5</v>
      </c>
      <c r="C7" s="13">
        <v>25</v>
      </c>
      <c r="D7" s="6" t="s">
        <v>4</v>
      </c>
      <c r="E7" s="116"/>
      <c r="F7" s="116"/>
    </row>
    <row r="8" spans="1:7" ht="14.4">
      <c r="B8" s="6" t="s">
        <v>6</v>
      </c>
      <c r="C8" s="14">
        <f>C7-C6</f>
        <v>18</v>
      </c>
      <c r="D8" s="6" t="s">
        <v>4</v>
      </c>
      <c r="E8" s="116"/>
      <c r="F8" s="116"/>
    </row>
    <row r="9" spans="1:7" ht="14.4">
      <c r="B9" s="15" t="s">
        <v>7</v>
      </c>
      <c r="C9" s="16">
        <v>340</v>
      </c>
      <c r="D9" s="15" t="s">
        <v>8</v>
      </c>
      <c r="E9" s="5"/>
      <c r="F9" s="5"/>
    </row>
    <row r="10" spans="1:7" s="17" customFormat="1" ht="13.2">
      <c r="B10" s="18"/>
      <c r="C10" s="19"/>
      <c r="E10" s="19"/>
      <c r="F10" s="20"/>
      <c r="G10" s="21"/>
    </row>
    <row r="11" spans="1:7" ht="15" thickBot="1">
      <c r="A11" s="22"/>
      <c r="B11" s="23"/>
      <c r="C11" s="24" t="s">
        <v>9</v>
      </c>
      <c r="D11" s="24" t="s">
        <v>10</v>
      </c>
      <c r="E11" s="24" t="s">
        <v>11</v>
      </c>
      <c r="F11" s="25" t="s">
        <v>12</v>
      </c>
      <c r="G11" s="26" t="s">
        <v>13</v>
      </c>
    </row>
    <row r="12" spans="1:7" ht="14.4">
      <c r="A12" s="27" t="s">
        <v>14</v>
      </c>
      <c r="B12" s="28" t="s">
        <v>15</v>
      </c>
      <c r="C12" s="29" t="s">
        <v>8</v>
      </c>
      <c r="D12" s="30">
        <f>C9</f>
        <v>340</v>
      </c>
      <c r="E12" s="31">
        <v>56</v>
      </c>
      <c r="F12" s="32">
        <f>PRODUCT(D12*E12)</f>
        <v>19040</v>
      </c>
      <c r="G12" s="32">
        <f>F12/$C$9</f>
        <v>56</v>
      </c>
    </row>
    <row r="13" spans="1:7" ht="14.4">
      <c r="A13" s="33"/>
      <c r="B13" s="34" t="s">
        <v>16</v>
      </c>
      <c r="C13" s="35"/>
      <c r="D13" s="36">
        <f>D12</f>
        <v>340</v>
      </c>
      <c r="E13" s="37"/>
      <c r="F13" s="32">
        <f>PRODUCT(D13*E13)</f>
        <v>0</v>
      </c>
      <c r="G13" s="32">
        <f t="shared" ref="G13:G50" si="0">F13/$C$9</f>
        <v>0</v>
      </c>
    </row>
    <row r="14" spans="1:7" ht="14.4">
      <c r="A14" s="27" t="s">
        <v>17</v>
      </c>
      <c r="B14" s="34" t="s">
        <v>18</v>
      </c>
      <c r="C14" s="35"/>
      <c r="D14" s="38">
        <f>(C7-12)/12</f>
        <v>1.0833333333333333</v>
      </c>
      <c r="E14" s="39">
        <f>96*C5</f>
        <v>1107.1200000000001</v>
      </c>
      <c r="F14" s="32">
        <f>D14*E14</f>
        <v>1199.3800000000001</v>
      </c>
      <c r="G14" s="32">
        <f t="shared" si="0"/>
        <v>3.5275882352941181</v>
      </c>
    </row>
    <row r="15" spans="1:7" ht="14.4">
      <c r="B15" s="34" t="s">
        <v>19</v>
      </c>
      <c r="C15" s="35"/>
      <c r="D15" s="38">
        <f>1/1.65*C8/12</f>
        <v>0.90909090909090917</v>
      </c>
      <c r="E15" s="40"/>
      <c r="F15" s="32">
        <f>D15*E15</f>
        <v>0</v>
      </c>
      <c r="G15" s="32">
        <f>F15/$C$9</f>
        <v>0</v>
      </c>
    </row>
    <row r="16" spans="1:7" s="44" customFormat="1" ht="15" thickBot="1">
      <c r="A16" s="22" t="s">
        <v>20</v>
      </c>
      <c r="B16" s="23"/>
      <c r="C16" s="41"/>
      <c r="D16" s="41"/>
      <c r="E16" s="41"/>
      <c r="F16" s="42">
        <f>SUM(F12:F14)</f>
        <v>20239.38</v>
      </c>
      <c r="G16" s="43">
        <f t="shared" si="0"/>
        <v>59.527588235294118</v>
      </c>
    </row>
    <row r="17" spans="1:8" s="17" customFormat="1" ht="14.4">
      <c r="C17" s="19"/>
      <c r="D17" s="19"/>
      <c r="E17" s="19"/>
      <c r="F17" s="45"/>
      <c r="G17" s="46"/>
    </row>
    <row r="18" spans="1:8" s="17" customFormat="1" ht="14.4">
      <c r="B18" s="19"/>
      <c r="C18" s="19"/>
      <c r="D18" s="19"/>
      <c r="E18" s="19"/>
      <c r="F18" s="45"/>
      <c r="G18" s="47"/>
    </row>
    <row r="19" spans="1:8" ht="15" thickBot="1">
      <c r="A19" s="22" t="s">
        <v>21</v>
      </c>
      <c r="B19" s="48"/>
      <c r="C19" s="24" t="s">
        <v>9</v>
      </c>
      <c r="D19" s="24" t="s">
        <v>10</v>
      </c>
      <c r="E19" s="24" t="s">
        <v>11</v>
      </c>
      <c r="F19" s="25" t="s">
        <v>12</v>
      </c>
      <c r="G19" s="49" t="s">
        <v>13</v>
      </c>
    </row>
    <row r="20" spans="1:8" ht="14.4">
      <c r="A20" s="27" t="s">
        <v>22</v>
      </c>
      <c r="B20" s="50" t="s">
        <v>23</v>
      </c>
      <c r="C20" s="51" t="s">
        <v>8</v>
      </c>
      <c r="D20" s="52">
        <v>300</v>
      </c>
      <c r="E20" s="53">
        <v>32</v>
      </c>
      <c r="F20" s="54">
        <f>PRODUCT(D20*E20)</f>
        <v>9600</v>
      </c>
      <c r="G20" s="55">
        <f t="shared" si="0"/>
        <v>28.235294117647058</v>
      </c>
    </row>
    <row r="21" spans="1:8" ht="14.4">
      <c r="A21" s="27"/>
      <c r="B21" s="50" t="s">
        <v>24</v>
      </c>
      <c r="C21" s="51" t="s">
        <v>25</v>
      </c>
      <c r="D21" s="52">
        <v>1</v>
      </c>
      <c r="E21" s="53">
        <v>250</v>
      </c>
      <c r="F21" s="54">
        <f>(D21*E21)</f>
        <v>250</v>
      </c>
      <c r="G21" s="55">
        <f t="shared" si="0"/>
        <v>0.73529411764705888</v>
      </c>
    </row>
    <row r="22" spans="1:8" ht="14.4">
      <c r="A22" s="27"/>
      <c r="B22" s="50" t="s">
        <v>26</v>
      </c>
      <c r="C22" s="51"/>
      <c r="D22" s="56">
        <v>0.02</v>
      </c>
      <c r="E22" s="57">
        <f>F5</f>
        <v>16229.831999999999</v>
      </c>
      <c r="F22" s="54">
        <f>D22*E22</f>
        <v>324.59663999999998</v>
      </c>
      <c r="G22" s="55">
        <f t="shared" si="0"/>
        <v>0.95469599999999999</v>
      </c>
      <c r="H22" s="58"/>
    </row>
    <row r="23" spans="1:8" ht="14.4">
      <c r="A23" s="27" t="s">
        <v>27</v>
      </c>
      <c r="B23" s="50" t="s">
        <v>28</v>
      </c>
      <c r="C23" s="51" t="s">
        <v>29</v>
      </c>
      <c r="D23" s="52">
        <v>2250</v>
      </c>
      <c r="E23" s="59">
        <v>2.1</v>
      </c>
      <c r="F23" s="54">
        <f t="shared" ref="F23:F34" si="1">PRODUCT(D23*E23)</f>
        <v>4725</v>
      </c>
      <c r="G23" s="55">
        <f t="shared" si="0"/>
        <v>13.897058823529411</v>
      </c>
    </row>
    <row r="24" spans="1:8" ht="14.4">
      <c r="A24" s="27"/>
      <c r="B24" s="60" t="s">
        <v>30</v>
      </c>
      <c r="C24" s="51" t="s">
        <v>29</v>
      </c>
      <c r="D24" s="61"/>
      <c r="E24" s="59"/>
      <c r="F24" s="54">
        <f t="shared" si="1"/>
        <v>0</v>
      </c>
      <c r="G24" s="55">
        <f t="shared" si="0"/>
        <v>0</v>
      </c>
    </row>
    <row r="25" spans="1:8" ht="14.4">
      <c r="A25" s="27"/>
      <c r="B25" s="60" t="s">
        <v>31</v>
      </c>
      <c r="C25" s="51" t="s">
        <v>29</v>
      </c>
      <c r="D25" s="61">
        <v>1100</v>
      </c>
      <c r="E25" s="59">
        <v>0.6</v>
      </c>
      <c r="F25" s="54">
        <f t="shared" si="1"/>
        <v>660</v>
      </c>
      <c r="G25" s="55">
        <f t="shared" si="0"/>
        <v>1.9411764705882353</v>
      </c>
    </row>
    <row r="26" spans="1:8" ht="14.4">
      <c r="A26" s="27"/>
      <c r="B26" s="60" t="s">
        <v>32</v>
      </c>
      <c r="C26" s="51" t="s">
        <v>8</v>
      </c>
      <c r="D26" s="61">
        <v>300</v>
      </c>
      <c r="E26" s="59"/>
      <c r="F26" s="54">
        <f t="shared" si="1"/>
        <v>0</v>
      </c>
      <c r="G26" s="55">
        <f t="shared" si="0"/>
        <v>0</v>
      </c>
    </row>
    <row r="27" spans="1:8" ht="14.4">
      <c r="A27" s="27"/>
      <c r="B27" s="60" t="s">
        <v>33</v>
      </c>
      <c r="C27" s="51" t="s">
        <v>8</v>
      </c>
      <c r="D27" s="62">
        <v>130</v>
      </c>
      <c r="E27" s="59">
        <v>3.14</v>
      </c>
      <c r="F27" s="54">
        <f t="shared" si="1"/>
        <v>408.2</v>
      </c>
      <c r="G27" s="55">
        <f t="shared" si="0"/>
        <v>1.2005882352941175</v>
      </c>
    </row>
    <row r="28" spans="1:8" ht="14.4">
      <c r="A28" s="27"/>
      <c r="B28" s="60" t="s">
        <v>34</v>
      </c>
      <c r="C28" s="51" t="s">
        <v>35</v>
      </c>
      <c r="D28" s="63"/>
      <c r="E28" s="59"/>
      <c r="F28" s="54">
        <f t="shared" si="1"/>
        <v>0</v>
      </c>
      <c r="G28" s="55">
        <f t="shared" si="0"/>
        <v>0</v>
      </c>
    </row>
    <row r="29" spans="1:8" ht="14.4">
      <c r="A29" s="33"/>
      <c r="B29" s="34" t="s">
        <v>36</v>
      </c>
      <c r="C29" s="51" t="s">
        <v>35</v>
      </c>
      <c r="D29" s="64">
        <f>(C8*30.4)*0.07</f>
        <v>38.304000000000002</v>
      </c>
      <c r="E29" s="65">
        <v>8.5</v>
      </c>
      <c r="F29" s="54">
        <f t="shared" si="1"/>
        <v>325.584</v>
      </c>
      <c r="G29" s="55">
        <f t="shared" si="0"/>
        <v>0.95760000000000001</v>
      </c>
    </row>
    <row r="30" spans="1:8" ht="14.4">
      <c r="A30" s="33"/>
      <c r="B30" s="34" t="s">
        <v>37</v>
      </c>
      <c r="C30" s="51" t="s">
        <v>35</v>
      </c>
      <c r="D30" s="64">
        <f>0.05*(C8*30.4)</f>
        <v>27.36</v>
      </c>
      <c r="E30" s="65">
        <v>2.9</v>
      </c>
      <c r="F30" s="54">
        <f t="shared" si="1"/>
        <v>79.343999999999994</v>
      </c>
      <c r="G30" s="55">
        <f t="shared" si="0"/>
        <v>0.23336470588235292</v>
      </c>
    </row>
    <row r="31" spans="1:8" ht="14.4">
      <c r="A31" s="27" t="s">
        <v>38</v>
      </c>
      <c r="B31" s="34"/>
      <c r="C31" s="51" t="s">
        <v>39</v>
      </c>
      <c r="D31" s="64">
        <f>0.002*(C8*30.4)</f>
        <v>1.0943999999999998</v>
      </c>
      <c r="E31" s="40">
        <v>1300</v>
      </c>
      <c r="F31" s="54">
        <f t="shared" si="1"/>
        <v>1422.7199999999998</v>
      </c>
      <c r="G31" s="55">
        <f t="shared" si="0"/>
        <v>4.1844705882352935</v>
      </c>
    </row>
    <row r="32" spans="1:8" ht="14.4">
      <c r="A32" s="66" t="s">
        <v>40</v>
      </c>
      <c r="B32" s="60" t="s">
        <v>40</v>
      </c>
      <c r="C32" s="51" t="s">
        <v>8</v>
      </c>
      <c r="D32" s="117">
        <v>1900</v>
      </c>
      <c r="E32" s="59">
        <v>1.2</v>
      </c>
      <c r="F32" s="54">
        <f t="shared" si="1"/>
        <v>2280</v>
      </c>
      <c r="G32" s="55">
        <f t="shared" si="0"/>
        <v>6.7058823529411766</v>
      </c>
    </row>
    <row r="33" spans="1:8" ht="14.4">
      <c r="A33" s="27" t="s">
        <v>41</v>
      </c>
      <c r="B33" s="34" t="s">
        <v>42</v>
      </c>
      <c r="C33" s="51" t="s">
        <v>25</v>
      </c>
      <c r="D33" s="51">
        <v>1</v>
      </c>
      <c r="E33" s="40">
        <v>68</v>
      </c>
      <c r="F33" s="54">
        <f t="shared" si="1"/>
        <v>68</v>
      </c>
      <c r="G33" s="55">
        <f t="shared" si="0"/>
        <v>0.2</v>
      </c>
    </row>
    <row r="34" spans="1:8" ht="14.4">
      <c r="B34" s="50" t="s">
        <v>43</v>
      </c>
      <c r="C34" s="51" t="s">
        <v>25</v>
      </c>
      <c r="D34" s="52">
        <v>1</v>
      </c>
      <c r="E34" s="37">
        <v>200</v>
      </c>
      <c r="F34" s="54">
        <f t="shared" si="1"/>
        <v>200</v>
      </c>
      <c r="G34" s="55">
        <f t="shared" si="0"/>
        <v>0.58823529411764708</v>
      </c>
    </row>
    <row r="35" spans="1:8" ht="14.4">
      <c r="A35" s="27" t="s">
        <v>44</v>
      </c>
      <c r="B35" s="67"/>
      <c r="C35" s="51" t="s">
        <v>39</v>
      </c>
      <c r="D35" s="68">
        <f>(C8*30.4*0.33)/60</f>
        <v>3.0095999999999998</v>
      </c>
      <c r="E35" s="37">
        <v>300</v>
      </c>
      <c r="F35" s="54">
        <f>D35*E35</f>
        <v>902.88</v>
      </c>
      <c r="G35" s="55">
        <f t="shared" si="0"/>
        <v>2.6555294117647059</v>
      </c>
    </row>
    <row r="36" spans="1:8" ht="15" thickBot="1">
      <c r="A36" s="22" t="s">
        <v>45</v>
      </c>
      <c r="B36" s="69"/>
      <c r="C36" s="70"/>
      <c r="D36" s="71"/>
      <c r="E36" s="72"/>
      <c r="F36" s="73">
        <f>SUM(F19:F35)</f>
        <v>21246.324640000003</v>
      </c>
      <c r="G36" s="74">
        <f t="shared" si="0"/>
        <v>62.48919011764707</v>
      </c>
    </row>
    <row r="37" spans="1:8" ht="14.4">
      <c r="F37" s="76"/>
      <c r="G37" s="46"/>
    </row>
    <row r="38" spans="1:8" s="44" customFormat="1" ht="15" thickBot="1">
      <c r="A38" s="77" t="s">
        <v>46</v>
      </c>
      <c r="B38" s="23"/>
      <c r="C38" s="78"/>
      <c r="D38" s="78"/>
      <c r="E38" s="79"/>
      <c r="F38" s="80">
        <f>F16-F36</f>
        <v>-1006.9446400000015</v>
      </c>
      <c r="G38" s="81">
        <f t="shared" si="0"/>
        <v>-2.9616018823529457</v>
      </c>
    </row>
    <row r="39" spans="1:8" s="17" customFormat="1" ht="14.4">
      <c r="C39" s="19"/>
      <c r="D39" s="19"/>
      <c r="E39" s="19"/>
      <c r="F39" s="82"/>
      <c r="G39" s="46"/>
    </row>
    <row r="40" spans="1:8" s="17" customFormat="1" ht="14.4">
      <c r="C40" s="19"/>
      <c r="D40" s="19"/>
      <c r="E40" s="19"/>
      <c r="F40" s="82"/>
      <c r="G40" s="46"/>
    </row>
    <row r="41" spans="1:8" ht="15" thickBot="1">
      <c r="A41" s="22" t="s">
        <v>47</v>
      </c>
      <c r="B41" s="23"/>
      <c r="C41" s="24" t="s">
        <v>9</v>
      </c>
      <c r="D41" s="24" t="s">
        <v>10</v>
      </c>
      <c r="E41" s="24" t="s">
        <v>11</v>
      </c>
      <c r="F41" s="25" t="s">
        <v>12</v>
      </c>
      <c r="G41" s="26" t="s">
        <v>13</v>
      </c>
    </row>
    <row r="42" spans="1:8" ht="14.4" hidden="1">
      <c r="B42" s="5" t="s">
        <v>48</v>
      </c>
      <c r="C42" s="83"/>
      <c r="D42" s="84"/>
      <c r="E42" s="84"/>
      <c r="F42" s="85">
        <f>PRODUCT(D42*E42)</f>
        <v>0</v>
      </c>
      <c r="G42" s="86">
        <f t="shared" si="0"/>
        <v>0</v>
      </c>
    </row>
    <row r="43" spans="1:8" ht="14.4">
      <c r="A43" s="27" t="s">
        <v>49</v>
      </c>
      <c r="B43" s="33" t="s">
        <v>50</v>
      </c>
      <c r="C43" s="51" t="s">
        <v>51</v>
      </c>
      <c r="D43" s="52">
        <v>20</v>
      </c>
      <c r="E43" s="87">
        <v>27000</v>
      </c>
      <c r="F43" s="88">
        <f>(E43/D43)*(C8/12)</f>
        <v>2025</v>
      </c>
      <c r="G43" s="89">
        <f t="shared" si="0"/>
        <v>5.9558823529411766</v>
      </c>
      <c r="H43" s="58"/>
    </row>
    <row r="44" spans="1:8" ht="14.4">
      <c r="B44" s="33" t="s">
        <v>52</v>
      </c>
      <c r="C44" s="51" t="s">
        <v>25</v>
      </c>
      <c r="D44" s="52">
        <v>1</v>
      </c>
      <c r="E44" s="87">
        <v>200</v>
      </c>
      <c r="F44" s="88">
        <f>PRODUCT(D44*E44)</f>
        <v>200</v>
      </c>
      <c r="G44" s="89">
        <f t="shared" si="0"/>
        <v>0.58823529411764708</v>
      </c>
    </row>
    <row r="45" spans="1:8" ht="14.4">
      <c r="A45" s="27" t="s">
        <v>53</v>
      </c>
      <c r="B45" s="33" t="s">
        <v>54</v>
      </c>
      <c r="C45" s="51"/>
      <c r="D45" s="90">
        <v>0.06</v>
      </c>
      <c r="E45" s="87">
        <v>27000</v>
      </c>
      <c r="F45" s="88">
        <f>((E45/2)*D45)*(C8/12)</f>
        <v>1215</v>
      </c>
      <c r="G45" s="89">
        <f>F45/$C$9</f>
        <v>3.5735294117647061</v>
      </c>
    </row>
    <row r="46" spans="1:8" ht="14.4">
      <c r="B46" s="33" t="s">
        <v>55</v>
      </c>
      <c r="C46" s="64">
        <f>0.55*C47</f>
        <v>0.82500000000000007</v>
      </c>
      <c r="D46" s="91">
        <f>SUM(F23:F34,F42:F44,F35)</f>
        <v>13296.727999999999</v>
      </c>
      <c r="E46" s="92">
        <v>0.06</v>
      </c>
      <c r="F46" s="88">
        <f>E46*(D46*C46)</f>
        <v>658.18803600000001</v>
      </c>
      <c r="G46" s="89">
        <f t="shared" si="0"/>
        <v>1.9358471647058824</v>
      </c>
    </row>
    <row r="47" spans="1:8" ht="14.4">
      <c r="B47" s="33" t="s">
        <v>56</v>
      </c>
      <c r="C47" s="93">
        <f>C8/12</f>
        <v>1.5</v>
      </c>
      <c r="D47" s="91">
        <f>F20+F21+F22</f>
        <v>10174.59664</v>
      </c>
      <c r="E47" s="92">
        <v>0.06</v>
      </c>
      <c r="F47" s="88">
        <f>E47*(D47*C47)</f>
        <v>915.71369759999993</v>
      </c>
      <c r="G47" s="89">
        <f>F47/$C$9</f>
        <v>2.6932755811764704</v>
      </c>
    </row>
    <row r="48" spans="1:8" s="44" customFormat="1" ht="15" thickBot="1">
      <c r="A48" s="22" t="s">
        <v>57</v>
      </c>
      <c r="B48" s="23"/>
      <c r="C48" s="70"/>
      <c r="D48" s="71"/>
      <c r="E48" s="94"/>
      <c r="F48" s="95">
        <f>SUM(F42:F47)</f>
        <v>5013.9017335999997</v>
      </c>
      <c r="G48" s="96">
        <f t="shared" si="0"/>
        <v>14.746769804705881</v>
      </c>
    </row>
    <row r="49" spans="1:7" s="17" customFormat="1" ht="14.4">
      <c r="A49" s="5"/>
      <c r="B49" s="5"/>
      <c r="C49" s="75"/>
      <c r="D49" s="75"/>
      <c r="E49" s="75"/>
      <c r="F49" s="76"/>
      <c r="G49" s="46"/>
    </row>
    <row r="50" spans="1:7" s="17" customFormat="1" ht="15" thickBot="1">
      <c r="A50" s="97" t="s">
        <v>58</v>
      </c>
      <c r="B50" s="23"/>
      <c r="C50" s="78"/>
      <c r="D50" s="78"/>
      <c r="E50" s="78"/>
      <c r="F50" s="80">
        <f>F38-F48</f>
        <v>-6020.8463736000012</v>
      </c>
      <c r="G50" s="81">
        <f t="shared" si="0"/>
        <v>-17.708371687058825</v>
      </c>
    </row>
    <row r="51" spans="1:7" ht="14.4">
      <c r="A51" s="17"/>
      <c r="B51" s="17"/>
      <c r="C51" s="19"/>
      <c r="D51" s="19"/>
      <c r="E51" s="19"/>
      <c r="F51" s="82"/>
      <c r="G51" s="46"/>
    </row>
    <row r="52" spans="1:7" ht="14.4">
      <c r="D52" s="5"/>
      <c r="E52" s="5"/>
      <c r="F52" s="5"/>
      <c r="G52" s="46"/>
    </row>
    <row r="53" spans="1:7" ht="15" thickBot="1">
      <c r="A53" s="22" t="s">
        <v>59</v>
      </c>
      <c r="B53" s="23"/>
      <c r="C53" s="24" t="s">
        <v>9</v>
      </c>
      <c r="D53" s="24" t="s">
        <v>10</v>
      </c>
      <c r="E53" s="24" t="s">
        <v>11</v>
      </c>
      <c r="F53" s="25" t="s">
        <v>12</v>
      </c>
      <c r="G53" s="26" t="s">
        <v>13</v>
      </c>
    </row>
    <row r="54" spans="1:7" ht="14.4">
      <c r="A54" s="27"/>
      <c r="B54" s="33" t="s">
        <v>60</v>
      </c>
      <c r="C54" s="51" t="s">
        <v>61</v>
      </c>
      <c r="D54" s="98">
        <v>0</v>
      </c>
      <c r="E54" s="99">
        <f>143.51*C5</f>
        <v>1655.0290749999999</v>
      </c>
      <c r="F54" s="100">
        <f>D54*E54</f>
        <v>0</v>
      </c>
      <c r="G54" s="100">
        <f>F54/$C$9</f>
        <v>0</v>
      </c>
    </row>
    <row r="55" spans="1:7" ht="14.4">
      <c r="A55" s="33"/>
      <c r="B55" s="33" t="s">
        <v>62</v>
      </c>
      <c r="C55" s="51" t="s">
        <v>61</v>
      </c>
      <c r="D55" s="52">
        <v>0</v>
      </c>
      <c r="E55" s="101">
        <v>0</v>
      </c>
      <c r="F55" s="100">
        <f>D55*E55</f>
        <v>0</v>
      </c>
      <c r="G55" s="100">
        <f>F55/$C$9</f>
        <v>0</v>
      </c>
    </row>
    <row r="56" spans="1:7" ht="14.4">
      <c r="A56" s="27"/>
      <c r="B56" s="102" t="s">
        <v>63</v>
      </c>
      <c r="C56" s="51" t="s">
        <v>61</v>
      </c>
      <c r="D56" s="52">
        <v>0</v>
      </c>
      <c r="E56" s="103">
        <v>1850</v>
      </c>
      <c r="F56" s="100">
        <f t="shared" ref="F56:F57" si="2">D56*E56</f>
        <v>0</v>
      </c>
      <c r="G56" s="100">
        <f t="shared" ref="G56:G57" si="3">F56/$C$9</f>
        <v>0</v>
      </c>
    </row>
    <row r="57" spans="1:7" ht="14.4">
      <c r="A57" s="27"/>
      <c r="B57" s="102" t="s">
        <v>64</v>
      </c>
      <c r="C57" s="51" t="s">
        <v>61</v>
      </c>
      <c r="D57" s="52">
        <v>0</v>
      </c>
      <c r="E57" s="103">
        <v>3950</v>
      </c>
      <c r="F57" s="100">
        <f t="shared" si="2"/>
        <v>0</v>
      </c>
      <c r="G57" s="100">
        <f t="shared" si="3"/>
        <v>0</v>
      </c>
    </row>
    <row r="58" spans="1:7" ht="15" thickBot="1">
      <c r="A58" s="97" t="s">
        <v>65</v>
      </c>
      <c r="B58" s="23"/>
      <c r="C58" s="78"/>
      <c r="D58" s="78"/>
      <c r="E58" s="78"/>
      <c r="F58" s="104">
        <f>SUM(F54:F57)</f>
        <v>0</v>
      </c>
      <c r="G58" s="104">
        <f>SUM(G54:G57)</f>
        <v>0</v>
      </c>
    </row>
    <row r="60" spans="1:7" ht="15" thickBot="1">
      <c r="A60" s="97" t="s">
        <v>66</v>
      </c>
      <c r="B60" s="23"/>
      <c r="C60" s="78"/>
      <c r="D60" s="78"/>
      <c r="E60" s="78"/>
      <c r="F60" s="106">
        <f>F50+F58</f>
        <v>-6020.8463736000012</v>
      </c>
      <c r="G60" s="81">
        <f>F60/$C$9</f>
        <v>-17.708371687058825</v>
      </c>
    </row>
    <row r="64" spans="1:7" ht="14.4">
      <c r="A64" s="107" t="s">
        <v>67</v>
      </c>
      <c r="B64" s="67"/>
      <c r="C64" s="108" t="s">
        <v>68</v>
      </c>
      <c r="D64" s="109" t="s">
        <v>69</v>
      </c>
    </row>
    <row r="65" spans="1:4" ht="14.4">
      <c r="A65" s="66" t="str">
        <f>A20</f>
        <v>Inköp djur</v>
      </c>
      <c r="C65" s="110">
        <f>SUM(F20:F22)</f>
        <v>10174.59664</v>
      </c>
      <c r="D65" s="110">
        <f>SUM(G20:G22)</f>
        <v>29.925284235294114</v>
      </c>
    </row>
    <row r="66" spans="1:4" ht="14.4">
      <c r="A66" s="66" t="str">
        <f>A23</f>
        <v>Foder</v>
      </c>
      <c r="C66" s="110">
        <f>SUM(F23:F30)</f>
        <v>6198.1279999999997</v>
      </c>
      <c r="D66" s="110">
        <f>SUM(G23:G30)</f>
        <v>18.229788235294116</v>
      </c>
    </row>
    <row r="67" spans="1:4" ht="14.4">
      <c r="A67" s="66" t="str">
        <f>A31</f>
        <v>Foderberedning</v>
      </c>
      <c r="C67" s="110">
        <f>SUM(F31)</f>
        <v>1422.7199999999998</v>
      </c>
      <c r="D67" s="110">
        <f>SUM(G31)</f>
        <v>4.1844705882352935</v>
      </c>
    </row>
    <row r="68" spans="1:4" ht="14.4">
      <c r="A68" s="66" t="str">
        <f>A32</f>
        <v>Strö</v>
      </c>
      <c r="C68" s="110">
        <f>SUM(F32)</f>
        <v>2280</v>
      </c>
      <c r="D68" s="110">
        <f>SUM(G32)</f>
        <v>6.7058823529411766</v>
      </c>
    </row>
    <row r="69" spans="1:4" ht="14.4">
      <c r="A69" s="66" t="str">
        <f>A33</f>
        <v>Diverse</v>
      </c>
      <c r="C69" s="110">
        <f>SUM(F33:F34)</f>
        <v>268</v>
      </c>
      <c r="D69" s="110">
        <f>SUM(G33:G34)</f>
        <v>0.78823529411764715</v>
      </c>
    </row>
    <row r="70" spans="1:4" ht="14.4">
      <c r="A70" s="66" t="str">
        <f>A35</f>
        <v>Arbete</v>
      </c>
      <c r="C70" s="110">
        <f>SUM(F35)</f>
        <v>902.88</v>
      </c>
      <c r="D70" s="110">
        <f>SUM(G35)</f>
        <v>2.6555294117647059</v>
      </c>
    </row>
    <row r="71" spans="1:4" ht="14.4">
      <c r="A71" s="66" t="str">
        <f>A43</f>
        <v>Byggnader</v>
      </c>
      <c r="C71" s="110">
        <f>SUM(F43:F44)</f>
        <v>2225</v>
      </c>
      <c r="D71" s="110">
        <f>SUM(G43:G44)</f>
        <v>6.5441176470588234</v>
      </c>
    </row>
    <row r="72" spans="1:4" ht="14.4">
      <c r="A72" s="107" t="str">
        <f>A45</f>
        <v>Ränta</v>
      </c>
      <c r="B72" s="67"/>
      <c r="C72" s="111">
        <f>SUM(F45:F47)</f>
        <v>2788.9017335999997</v>
      </c>
      <c r="D72" s="111">
        <f>SUM(G45:G47)</f>
        <v>8.2026521576470586</v>
      </c>
    </row>
    <row r="73" spans="1:4" ht="14.4">
      <c r="A73" s="66"/>
      <c r="B73" s="112" t="s">
        <v>70</v>
      </c>
      <c r="C73" s="113">
        <f>SUM(C65:C72)</f>
        <v>26260.226373600002</v>
      </c>
      <c r="D73" s="113">
        <f>SUM(D65:D72)</f>
        <v>77.235959922352919</v>
      </c>
    </row>
    <row r="75" spans="1:4">
      <c r="D75" s="114"/>
    </row>
  </sheetData>
  <mergeCells count="2">
    <mergeCell ref="A3:F3"/>
    <mergeCell ref="E7:F8"/>
  </mergeCells>
  <pageMargins left="0.74803149606299213" right="0.74803149606299213" top="0.94488188976377963" bottom="0.74803149606299213" header="0.31496062992125984" footer="0.31496062992125984"/>
  <pageSetup paperSize="9" scale="85" orientation="portrait" r:id="rId1"/>
  <headerFooter alignWithMargins="0">
    <oddHeader>&amp;L&amp;G&amp;R&amp;G</oddHeader>
    <oddFooter>&amp;C&amp;"-,Normal"Gård &amp; Djurhälsan – Växel: 0771-21 65 00 – www.gårdochdjurhälsan.se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SQMHNX6NJ7S5-1457374313-16492</_dlc_DocId>
    <_dlc_DocIdUrl xmlns="dc9bf6b0-c037-4e8f-b370-165ec66c887d">
      <Url>https://svdhv.sharepoint.com/Intranet/arbetsrum/A15/_layouts/15/DocIdRedir.aspx?ID=SQMHNX6NJ7S5-1457374313-16492</Url>
      <Description>SQMHNX6NJ7S5-1457374313-16492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2CBA15-7993-4550-824A-C6A2EB05B04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6D6CF4C-5064-498E-AB47-23DB70E653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5D765F-1DA0-487B-8DF8-F64C0B76E601}">
  <ds:schemaRefs>
    <ds:schemaRef ds:uri="http://schemas.microsoft.com/office/2006/metadata/properties"/>
    <ds:schemaRef ds:uri="http://schemas.microsoft.com/office/infopath/2007/PartnerControls"/>
    <ds:schemaRef ds:uri="0136e8ea-c59c-4acf-8a1d-44c411ce7517"/>
    <ds:schemaRef ds:uri="dc9bf6b0-c037-4e8f-b370-165ec66c887d"/>
  </ds:schemaRefs>
</ds:datastoreItem>
</file>

<file path=customXml/itemProps4.xml><?xml version="1.0" encoding="utf-8"?>
<ds:datastoreItem xmlns:ds="http://schemas.openxmlformats.org/officeDocument/2006/customXml" ds:itemID="{9BFAD795-BB1E-443C-BA89-066D1B9140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6e8ea-c59c-4acf-8a1d-44c411ce7517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Köttrasstut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Sofie Johansson</cp:lastModifiedBy>
  <cp:lastPrinted>2024-05-23T12:38:08Z</cp:lastPrinted>
  <dcterms:created xsi:type="dcterms:W3CDTF">2024-05-23T12:38:02Z</dcterms:created>
  <dcterms:modified xsi:type="dcterms:W3CDTF">2024-08-16T12:51:35Z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da4a9fac-fe85-4881-bd5e-14080e6c393c</vt:lpwstr>
  </property>
  <property fmtid="{D5CDD505-2E9C-101B-9397-08002B2CF9AE}" pid="4" name="MediaServiceImageTags">
    <vt:lpwstr/>
  </property>
</Properties>
</file>